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I:\abteilung\rm\intern\EXCEL\INTERNETuINTRANET\Homepage\2026\08_2026\"/>
    </mc:Choice>
  </mc:AlternateContent>
  <xr:revisionPtr revIDLastSave="0" documentId="13_ncr:1_{1757100D-1644-4A6B-8B18-F4914B179A6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en" sheetId="1" r:id="rId1"/>
  </sheets>
  <definedNames>
    <definedName name="_xlnm.Print_Area" localSheetId="0">Daten!$A$1:$M$386</definedName>
    <definedName name="HTML_CodePage" hidden="1">1252</definedName>
    <definedName name="HTML_Control" hidden="1">{"'Tabelle1'!$A$1:$M$48","'Tabelle1'!$A$1:$M$35"}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"F:\RM\DOC\EXCEL\Intranet\Homepage\Em_Stat.htm"</definedName>
    <definedName name="HTML_Title" hidden="1">""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79" i="1" l="1"/>
  <c r="E379" i="1"/>
  <c r="D379" i="1"/>
  <c r="K379" i="1"/>
  <c r="L379" i="1"/>
  <c r="J379" i="1"/>
  <c r="M378" i="1"/>
  <c r="E378" i="1"/>
  <c r="D378" i="1"/>
  <c r="K378" i="1"/>
  <c r="L378" i="1"/>
  <c r="J378" i="1"/>
  <c r="M377" i="1"/>
  <c r="E377" i="1"/>
  <c r="D377" i="1"/>
  <c r="K377" i="1"/>
  <c r="L377" i="1" s="1"/>
  <c r="J377" i="1"/>
  <c r="M376" i="1"/>
  <c r="E376" i="1"/>
  <c r="D376" i="1"/>
  <c r="K376" i="1"/>
  <c r="L376" i="1"/>
  <c r="J376" i="1"/>
  <c r="M375" i="1"/>
  <c r="E375" i="1"/>
  <c r="D375" i="1"/>
  <c r="K375" i="1"/>
  <c r="L375" i="1" s="1"/>
  <c r="J375" i="1"/>
  <c r="L373" i="1"/>
  <c r="L374" i="1"/>
  <c r="L372" i="1"/>
  <c r="E374" i="1"/>
  <c r="D373" i="1"/>
  <c r="D374" i="1"/>
  <c r="D372" i="1"/>
  <c r="K374" i="1"/>
  <c r="J374" i="1"/>
  <c r="K373" i="1"/>
  <c r="J373" i="1"/>
  <c r="M370" i="1"/>
  <c r="K372" i="1"/>
  <c r="J372" i="1"/>
  <c r="J370" i="1"/>
  <c r="M372" i="1" l="1"/>
  <c r="M373" i="1" s="1"/>
  <c r="M374" i="1" s="1"/>
  <c r="E372" i="1"/>
  <c r="E373" i="1" s="1"/>
  <c r="I31" i="1"/>
  <c r="H31" i="1"/>
  <c r="G31" i="1"/>
  <c r="F31" i="1"/>
  <c r="E30" i="1"/>
  <c r="C31" i="1"/>
  <c r="B30" i="1"/>
  <c r="B31" i="1"/>
  <c r="C30" i="1"/>
  <c r="D370" i="1"/>
  <c r="K370" i="1"/>
  <c r="D369" i="1"/>
  <c r="K369" i="1"/>
  <c r="J369" i="1"/>
  <c r="J368" i="1"/>
  <c r="K368" i="1"/>
  <c r="D368" i="1"/>
  <c r="J367" i="1"/>
  <c r="K367" i="1"/>
  <c r="D367" i="1"/>
  <c r="J366" i="1"/>
  <c r="K366" i="1"/>
  <c r="D366" i="1"/>
  <c r="K365" i="1"/>
  <c r="J365" i="1"/>
  <c r="D365" i="1"/>
  <c r="L364" i="1"/>
  <c r="D364" i="1"/>
  <c r="L363" i="1"/>
  <c r="D363" i="1"/>
  <c r="L362" i="1"/>
  <c r="D362" i="1"/>
  <c r="D361" i="1"/>
  <c r="L359" i="1"/>
  <c r="M359" i="1" s="1"/>
  <c r="K360" i="1"/>
  <c r="J360" i="1"/>
  <c r="D360" i="1"/>
  <c r="D359" i="1"/>
  <c r="E359" i="1" s="1"/>
  <c r="D349" i="1"/>
  <c r="E349" i="1" s="1"/>
  <c r="D350" i="1"/>
  <c r="D351" i="1"/>
  <c r="D352" i="1"/>
  <c r="D353" i="1"/>
  <c r="D354" i="1"/>
  <c r="D355" i="1"/>
  <c r="D356" i="1"/>
  <c r="D357" i="1"/>
  <c r="M30" i="1"/>
  <c r="K30" i="1"/>
  <c r="J30" i="1"/>
  <c r="I30" i="1"/>
  <c r="H30" i="1"/>
  <c r="G30" i="1"/>
  <c r="F30" i="1"/>
  <c r="B29" i="1"/>
  <c r="L357" i="1"/>
  <c r="E28" i="1"/>
  <c r="E27" i="1"/>
  <c r="E29" i="1"/>
  <c r="M29" i="1"/>
  <c r="C29" i="1"/>
  <c r="D29" i="1"/>
  <c r="F29" i="1"/>
  <c r="G29" i="1"/>
  <c r="H29" i="1"/>
  <c r="I29" i="1"/>
  <c r="J29" i="1"/>
  <c r="K29" i="1"/>
  <c r="L29" i="1"/>
  <c r="B28" i="1"/>
  <c r="M28" i="1"/>
  <c r="M27" i="1"/>
  <c r="C28" i="1"/>
  <c r="D28" i="1"/>
  <c r="F28" i="1"/>
  <c r="G28" i="1"/>
  <c r="H28" i="1"/>
  <c r="I28" i="1"/>
  <c r="J28" i="1"/>
  <c r="K28" i="1"/>
  <c r="C27" i="1"/>
  <c r="F27" i="1"/>
  <c r="G27" i="1"/>
  <c r="I27" i="1"/>
  <c r="L322" i="1"/>
  <c r="L28" i="1" s="1"/>
  <c r="J317" i="1"/>
  <c r="L317" i="1" s="1"/>
  <c r="B317" i="1"/>
  <c r="D317" i="1" s="1"/>
  <c r="B316" i="1"/>
  <c r="D316" i="1" s="1"/>
  <c r="B315" i="1"/>
  <c r="D315" i="1" s="1"/>
  <c r="H314" i="1"/>
  <c r="B314" i="1"/>
  <c r="D314" i="1" s="1"/>
  <c r="J313" i="1"/>
  <c r="K313" i="1"/>
  <c r="H313" i="1"/>
  <c r="D313" i="1"/>
  <c r="J312" i="1"/>
  <c r="K312" i="1"/>
  <c r="H312" i="1"/>
  <c r="D312" i="1"/>
  <c r="K311" i="1"/>
  <c r="H311" i="1"/>
  <c r="B311" i="1"/>
  <c r="D311" i="1" s="1"/>
  <c r="K310" i="1"/>
  <c r="H310" i="1"/>
  <c r="B310" i="1"/>
  <c r="J310" i="1" s="1"/>
  <c r="K309" i="1"/>
  <c r="H309" i="1"/>
  <c r="B309" i="1"/>
  <c r="D309" i="1" s="1"/>
  <c r="K308" i="1"/>
  <c r="H308" i="1"/>
  <c r="B308" i="1"/>
  <c r="J308" i="1" s="1"/>
  <c r="K307" i="1"/>
  <c r="H307" i="1"/>
  <c r="B307" i="1"/>
  <c r="D307" i="1" s="1"/>
  <c r="B306" i="1"/>
  <c r="D306" i="1" s="1"/>
  <c r="K306" i="1"/>
  <c r="H306" i="1"/>
  <c r="E25" i="1"/>
  <c r="M26" i="1"/>
  <c r="I26" i="1"/>
  <c r="G26" i="1"/>
  <c r="F26" i="1"/>
  <c r="E26" i="1"/>
  <c r="C26" i="1"/>
  <c r="B304" i="1"/>
  <c r="D304" i="1" s="1"/>
  <c r="K304" i="1"/>
  <c r="H304" i="1"/>
  <c r="J303" i="1"/>
  <c r="K303" i="1"/>
  <c r="H303" i="1"/>
  <c r="D303" i="1"/>
  <c r="K302" i="1"/>
  <c r="B302" i="1"/>
  <c r="J302" i="1" s="1"/>
  <c r="H302" i="1"/>
  <c r="K301" i="1"/>
  <c r="J301" i="1"/>
  <c r="H301" i="1"/>
  <c r="D301" i="1"/>
  <c r="K300" i="1"/>
  <c r="J300" i="1"/>
  <c r="H300" i="1"/>
  <c r="D300" i="1"/>
  <c r="K299" i="1"/>
  <c r="J299" i="1"/>
  <c r="H299" i="1"/>
  <c r="D299" i="1"/>
  <c r="K298" i="1"/>
  <c r="J298" i="1"/>
  <c r="H298" i="1"/>
  <c r="D298" i="1"/>
  <c r="K297" i="1"/>
  <c r="J297" i="1"/>
  <c r="H297" i="1"/>
  <c r="D297" i="1"/>
  <c r="K296" i="1"/>
  <c r="J296" i="1"/>
  <c r="H296" i="1"/>
  <c r="D296" i="1"/>
  <c r="K295" i="1"/>
  <c r="B295" i="1"/>
  <c r="J295" i="1" s="1"/>
  <c r="H295" i="1"/>
  <c r="K294" i="1"/>
  <c r="H294" i="1"/>
  <c r="B294" i="1"/>
  <c r="J294" i="1" s="1"/>
  <c r="AC1" i="1"/>
  <c r="AD1" i="1" s="1"/>
  <c r="J4" i="1"/>
  <c r="K4" i="1"/>
  <c r="L4" i="1"/>
  <c r="M4" i="1"/>
  <c r="D5" i="1"/>
  <c r="H5" i="1"/>
  <c r="J5" i="1"/>
  <c r="K5" i="1"/>
  <c r="M5" i="1"/>
  <c r="B6" i="1"/>
  <c r="C6" i="1"/>
  <c r="G6" i="1"/>
  <c r="E6" i="1"/>
  <c r="F6" i="1"/>
  <c r="I6" i="1"/>
  <c r="C7" i="1"/>
  <c r="G7" i="1"/>
  <c r="E7" i="1"/>
  <c r="I7" i="1"/>
  <c r="F7" i="1"/>
  <c r="B8" i="1"/>
  <c r="C8" i="1"/>
  <c r="H59" i="1"/>
  <c r="H60" i="1"/>
  <c r="H68" i="1"/>
  <c r="H69" i="1"/>
  <c r="H70" i="1"/>
  <c r="E8" i="1"/>
  <c r="I8" i="1"/>
  <c r="F8" i="1"/>
  <c r="G8" i="1"/>
  <c r="B9" i="1"/>
  <c r="C9" i="1"/>
  <c r="F9" i="1"/>
  <c r="G9" i="1"/>
  <c r="E9" i="1"/>
  <c r="I9" i="1"/>
  <c r="B10" i="1"/>
  <c r="C10" i="1"/>
  <c r="G10" i="1"/>
  <c r="E10" i="1"/>
  <c r="I10" i="1"/>
  <c r="F10" i="1"/>
  <c r="B11" i="1"/>
  <c r="C11" i="1"/>
  <c r="E11" i="1"/>
  <c r="F11" i="1"/>
  <c r="G11" i="1"/>
  <c r="I11" i="1"/>
  <c r="M11" i="1"/>
  <c r="B12" i="1"/>
  <c r="C12" i="1"/>
  <c r="E12" i="1"/>
  <c r="F12" i="1"/>
  <c r="G12" i="1"/>
  <c r="I12" i="1"/>
  <c r="M12" i="1"/>
  <c r="B13" i="1"/>
  <c r="C13" i="1"/>
  <c r="E13" i="1"/>
  <c r="G13" i="1"/>
  <c r="M13" i="1"/>
  <c r="B14" i="1"/>
  <c r="C14" i="1"/>
  <c r="E14" i="1"/>
  <c r="G14" i="1"/>
  <c r="I14" i="1"/>
  <c r="M14" i="1"/>
  <c r="C15" i="1"/>
  <c r="E15" i="1"/>
  <c r="F15" i="1"/>
  <c r="G15" i="1"/>
  <c r="I15" i="1"/>
  <c r="M15" i="1"/>
  <c r="C16" i="1"/>
  <c r="E16" i="1"/>
  <c r="F16" i="1"/>
  <c r="G16" i="1"/>
  <c r="I16" i="1"/>
  <c r="M16" i="1"/>
  <c r="C17" i="1"/>
  <c r="E17" i="1"/>
  <c r="F17" i="1"/>
  <c r="G17" i="1"/>
  <c r="I17" i="1"/>
  <c r="M17" i="1"/>
  <c r="C19" i="1"/>
  <c r="E19" i="1"/>
  <c r="F19" i="1"/>
  <c r="G19" i="1"/>
  <c r="I19" i="1"/>
  <c r="M19" i="1"/>
  <c r="C20" i="1"/>
  <c r="E20" i="1"/>
  <c r="F20" i="1"/>
  <c r="G20" i="1"/>
  <c r="I20" i="1"/>
  <c r="M20" i="1"/>
  <c r="C21" i="1"/>
  <c r="E21" i="1"/>
  <c r="F21" i="1"/>
  <c r="G21" i="1"/>
  <c r="I21" i="1"/>
  <c r="M21" i="1"/>
  <c r="C22" i="1"/>
  <c r="E22" i="1"/>
  <c r="F22" i="1"/>
  <c r="G22" i="1"/>
  <c r="I22" i="1"/>
  <c r="M22" i="1"/>
  <c r="C23" i="1"/>
  <c r="E23" i="1"/>
  <c r="F23" i="1"/>
  <c r="G23" i="1"/>
  <c r="I23" i="1"/>
  <c r="M23" i="1"/>
  <c r="C24" i="1"/>
  <c r="E24" i="1"/>
  <c r="F24" i="1"/>
  <c r="G24" i="1"/>
  <c r="I24" i="1"/>
  <c r="M24" i="1"/>
  <c r="C25" i="1"/>
  <c r="F25" i="1"/>
  <c r="G25" i="1"/>
  <c r="I25" i="1"/>
  <c r="M25" i="1"/>
  <c r="D33" i="1"/>
  <c r="H33" i="1"/>
  <c r="J33" i="1"/>
  <c r="L33" i="1" s="1"/>
  <c r="D34" i="1"/>
  <c r="H34" i="1"/>
  <c r="J34" i="1"/>
  <c r="L34" i="1" s="1"/>
  <c r="D35" i="1"/>
  <c r="H35" i="1"/>
  <c r="H36" i="1"/>
  <c r="H37" i="1"/>
  <c r="H38" i="1"/>
  <c r="H39" i="1"/>
  <c r="H40" i="1"/>
  <c r="H41" i="1"/>
  <c r="H42" i="1"/>
  <c r="H43" i="1"/>
  <c r="H44" i="1"/>
  <c r="J35" i="1"/>
  <c r="L35" i="1" s="1"/>
  <c r="D36" i="1"/>
  <c r="J36" i="1"/>
  <c r="L36" i="1" s="1"/>
  <c r="D37" i="1"/>
  <c r="J37" i="1"/>
  <c r="L37" i="1" s="1"/>
  <c r="D38" i="1"/>
  <c r="J38" i="1"/>
  <c r="L38" i="1" s="1"/>
  <c r="D39" i="1"/>
  <c r="J39" i="1"/>
  <c r="L39" i="1" s="1"/>
  <c r="D40" i="1"/>
  <c r="J40" i="1"/>
  <c r="L40" i="1" s="1"/>
  <c r="D41" i="1"/>
  <c r="J41" i="1"/>
  <c r="L41" i="1" s="1"/>
  <c r="D42" i="1"/>
  <c r="J42" i="1"/>
  <c r="L42" i="1" s="1"/>
  <c r="D43" i="1"/>
  <c r="J43" i="1"/>
  <c r="L43" i="1" s="1"/>
  <c r="D44" i="1"/>
  <c r="J44" i="1"/>
  <c r="L44" i="1" s="1"/>
  <c r="B46" i="1"/>
  <c r="B7" i="1" s="1"/>
  <c r="D47" i="1"/>
  <c r="L47" i="1" s="1"/>
  <c r="D48" i="1"/>
  <c r="L48" i="1" s="1"/>
  <c r="D49" i="1"/>
  <c r="D50" i="1"/>
  <c r="L50" i="1" s="1"/>
  <c r="D51" i="1"/>
  <c r="L51" i="1" s="1"/>
  <c r="D52" i="1"/>
  <c r="L52" i="1" s="1"/>
  <c r="D53" i="1"/>
  <c r="L53" i="1" s="1"/>
  <c r="J53" i="1"/>
  <c r="D54" i="1"/>
  <c r="D55" i="1"/>
  <c r="L55" i="1" s="1"/>
  <c r="K55" i="1"/>
  <c r="D56" i="1"/>
  <c r="H56" i="1"/>
  <c r="H57" i="1"/>
  <c r="L56" i="1"/>
  <c r="D57" i="1"/>
  <c r="L57" i="1"/>
  <c r="D59" i="1"/>
  <c r="L59" i="1"/>
  <c r="D60" i="1"/>
  <c r="L60" i="1"/>
  <c r="D61" i="1"/>
  <c r="L61" i="1"/>
  <c r="D62" i="1"/>
  <c r="J62" i="1"/>
  <c r="K62" i="1"/>
  <c r="D63" i="1"/>
  <c r="J63" i="1"/>
  <c r="K63" i="1"/>
  <c r="D64" i="1"/>
  <c r="J64" i="1"/>
  <c r="K64" i="1"/>
  <c r="D65" i="1"/>
  <c r="J65" i="1"/>
  <c r="K65" i="1"/>
  <c r="D67" i="1"/>
  <c r="J67" i="1"/>
  <c r="K67" i="1"/>
  <c r="D68" i="1"/>
  <c r="J68" i="1"/>
  <c r="K68" i="1"/>
  <c r="D69" i="1"/>
  <c r="J69" i="1"/>
  <c r="K69" i="1"/>
  <c r="J70" i="1"/>
  <c r="K70" i="1"/>
  <c r="D72" i="1"/>
  <c r="H72" i="1"/>
  <c r="J72" i="1"/>
  <c r="K72" i="1"/>
  <c r="D73" i="1"/>
  <c r="H73" i="1"/>
  <c r="J73" i="1"/>
  <c r="K73" i="1"/>
  <c r="J74" i="1"/>
  <c r="K74" i="1"/>
  <c r="D75" i="1"/>
  <c r="J75" i="1"/>
  <c r="K75" i="1"/>
  <c r="D76" i="1"/>
  <c r="J76" i="1"/>
  <c r="K76" i="1"/>
  <c r="D77" i="1"/>
  <c r="J77" i="1"/>
  <c r="K77" i="1"/>
  <c r="D78" i="1"/>
  <c r="J78" i="1"/>
  <c r="K78" i="1"/>
  <c r="J79" i="1"/>
  <c r="K79" i="1"/>
  <c r="D80" i="1"/>
  <c r="J80" i="1"/>
  <c r="K80" i="1"/>
  <c r="D81" i="1"/>
  <c r="H81" i="1"/>
  <c r="J81" i="1"/>
  <c r="K81" i="1"/>
  <c r="D82" i="1"/>
  <c r="H82" i="1"/>
  <c r="J82" i="1"/>
  <c r="K82" i="1"/>
  <c r="D83" i="1"/>
  <c r="H83" i="1"/>
  <c r="J83" i="1"/>
  <c r="K83" i="1"/>
  <c r="D85" i="1"/>
  <c r="H85" i="1"/>
  <c r="J85" i="1"/>
  <c r="K85" i="1"/>
  <c r="D86" i="1"/>
  <c r="J86" i="1"/>
  <c r="K86" i="1"/>
  <c r="D87" i="1"/>
  <c r="J87" i="1"/>
  <c r="K87" i="1"/>
  <c r="D88" i="1"/>
  <c r="H88" i="1"/>
  <c r="J88" i="1"/>
  <c r="K88" i="1"/>
  <c r="D89" i="1"/>
  <c r="H89" i="1"/>
  <c r="J89" i="1"/>
  <c r="K89" i="1"/>
  <c r="D90" i="1"/>
  <c r="J90" i="1"/>
  <c r="K90" i="1"/>
  <c r="D91" i="1"/>
  <c r="J91" i="1"/>
  <c r="K91" i="1"/>
  <c r="D92" i="1"/>
  <c r="J92" i="1"/>
  <c r="K92" i="1"/>
  <c r="D93" i="1"/>
  <c r="J93" i="1"/>
  <c r="K93" i="1"/>
  <c r="D94" i="1"/>
  <c r="J94" i="1"/>
  <c r="K94" i="1"/>
  <c r="D95" i="1"/>
  <c r="H95" i="1"/>
  <c r="J95" i="1"/>
  <c r="K95" i="1"/>
  <c r="D96" i="1"/>
  <c r="J96" i="1"/>
  <c r="K96" i="1"/>
  <c r="D98" i="1"/>
  <c r="H98" i="1"/>
  <c r="J98" i="1"/>
  <c r="K98" i="1"/>
  <c r="D99" i="1"/>
  <c r="H99" i="1"/>
  <c r="J99" i="1"/>
  <c r="K99" i="1"/>
  <c r="K100" i="1"/>
  <c r="K101" i="1"/>
  <c r="K102" i="1"/>
  <c r="K103" i="1"/>
  <c r="K104" i="1"/>
  <c r="K105" i="1"/>
  <c r="K106" i="1"/>
  <c r="K107" i="1"/>
  <c r="K108" i="1"/>
  <c r="K109" i="1"/>
  <c r="D100" i="1"/>
  <c r="H100" i="1"/>
  <c r="J100" i="1"/>
  <c r="D101" i="1"/>
  <c r="H101" i="1"/>
  <c r="J101" i="1"/>
  <c r="D102" i="1"/>
  <c r="H102" i="1"/>
  <c r="J102" i="1"/>
  <c r="L102" i="1" s="1"/>
  <c r="D103" i="1"/>
  <c r="H103" i="1"/>
  <c r="J103" i="1"/>
  <c r="D104" i="1"/>
  <c r="H104" i="1"/>
  <c r="J104" i="1"/>
  <c r="D105" i="1"/>
  <c r="H105" i="1"/>
  <c r="J105" i="1"/>
  <c r="D106" i="1"/>
  <c r="H106" i="1"/>
  <c r="J106" i="1"/>
  <c r="D107" i="1"/>
  <c r="H107" i="1"/>
  <c r="J107" i="1"/>
  <c r="D108" i="1"/>
  <c r="H108" i="1"/>
  <c r="J108" i="1"/>
  <c r="D109" i="1"/>
  <c r="H109" i="1"/>
  <c r="J109" i="1"/>
  <c r="D111" i="1"/>
  <c r="H111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D112" i="1"/>
  <c r="H112" i="1"/>
  <c r="D113" i="1"/>
  <c r="H113" i="1"/>
  <c r="D114" i="1"/>
  <c r="H114" i="1"/>
  <c r="D115" i="1"/>
  <c r="H115" i="1"/>
  <c r="D116" i="1"/>
  <c r="H116" i="1"/>
  <c r="D117" i="1"/>
  <c r="H117" i="1"/>
  <c r="D118" i="1"/>
  <c r="H118" i="1"/>
  <c r="D119" i="1"/>
  <c r="H119" i="1"/>
  <c r="D120" i="1"/>
  <c r="H120" i="1"/>
  <c r="D121" i="1"/>
  <c r="H121" i="1"/>
  <c r="D122" i="1"/>
  <c r="H122" i="1"/>
  <c r="D124" i="1"/>
  <c r="H124" i="1"/>
  <c r="J124" i="1"/>
  <c r="K124" i="1"/>
  <c r="D125" i="1"/>
  <c r="H125" i="1"/>
  <c r="J125" i="1"/>
  <c r="K125" i="1"/>
  <c r="D126" i="1"/>
  <c r="H126" i="1"/>
  <c r="J126" i="1"/>
  <c r="K126" i="1"/>
  <c r="D127" i="1"/>
  <c r="H127" i="1"/>
  <c r="J127" i="1"/>
  <c r="K127" i="1"/>
  <c r="D128" i="1"/>
  <c r="H128" i="1"/>
  <c r="J128" i="1"/>
  <c r="K128" i="1"/>
  <c r="D129" i="1"/>
  <c r="H129" i="1"/>
  <c r="J129" i="1"/>
  <c r="K129" i="1"/>
  <c r="D130" i="1"/>
  <c r="H130" i="1"/>
  <c r="J130" i="1"/>
  <c r="K130" i="1"/>
  <c r="D131" i="1"/>
  <c r="H131" i="1"/>
  <c r="J131" i="1"/>
  <c r="K131" i="1"/>
  <c r="D132" i="1"/>
  <c r="H132" i="1"/>
  <c r="J132" i="1"/>
  <c r="K132" i="1"/>
  <c r="K133" i="1"/>
  <c r="K134" i="1"/>
  <c r="K135" i="1"/>
  <c r="D133" i="1"/>
  <c r="H133" i="1"/>
  <c r="J133" i="1"/>
  <c r="D134" i="1"/>
  <c r="H134" i="1"/>
  <c r="J134" i="1"/>
  <c r="D135" i="1"/>
  <c r="F135" i="1"/>
  <c r="I135" i="1" s="1"/>
  <c r="I13" i="1" s="1"/>
  <c r="D137" i="1"/>
  <c r="H137" i="1"/>
  <c r="J137" i="1"/>
  <c r="K137" i="1"/>
  <c r="D138" i="1"/>
  <c r="H138" i="1"/>
  <c r="J138" i="1"/>
  <c r="K138" i="1"/>
  <c r="D139" i="1"/>
  <c r="H139" i="1"/>
  <c r="H140" i="1"/>
  <c r="H141" i="1"/>
  <c r="H142" i="1"/>
  <c r="H143" i="1"/>
  <c r="H144" i="1"/>
  <c r="H145" i="1"/>
  <c r="H146" i="1"/>
  <c r="H147" i="1"/>
  <c r="F148" i="1"/>
  <c r="J148" i="1" s="1"/>
  <c r="J139" i="1"/>
  <c r="K139" i="1"/>
  <c r="D140" i="1"/>
  <c r="J140" i="1"/>
  <c r="K140" i="1"/>
  <c r="D141" i="1"/>
  <c r="J141" i="1"/>
  <c r="K141" i="1"/>
  <c r="D142" i="1"/>
  <c r="D143" i="1"/>
  <c r="D144" i="1"/>
  <c r="D145" i="1"/>
  <c r="D146" i="1"/>
  <c r="D147" i="1"/>
  <c r="D148" i="1"/>
  <c r="J142" i="1"/>
  <c r="K142" i="1"/>
  <c r="J143" i="1"/>
  <c r="K143" i="1"/>
  <c r="J144" i="1"/>
  <c r="K144" i="1"/>
  <c r="J145" i="1"/>
  <c r="K145" i="1"/>
  <c r="J146" i="1"/>
  <c r="K146" i="1"/>
  <c r="J147" i="1"/>
  <c r="K147" i="1"/>
  <c r="K148" i="1"/>
  <c r="D150" i="1"/>
  <c r="H150" i="1"/>
  <c r="J150" i="1"/>
  <c r="K150" i="1"/>
  <c r="D151" i="1"/>
  <c r="H151" i="1"/>
  <c r="H152" i="1"/>
  <c r="H153" i="1"/>
  <c r="H154" i="1"/>
  <c r="H155" i="1"/>
  <c r="H156" i="1"/>
  <c r="H157" i="1"/>
  <c r="H158" i="1"/>
  <c r="H159" i="1"/>
  <c r="H160" i="1"/>
  <c r="H161" i="1"/>
  <c r="J151" i="1"/>
  <c r="K151" i="1"/>
  <c r="D152" i="1"/>
  <c r="J152" i="1"/>
  <c r="K152" i="1"/>
  <c r="B153" i="1"/>
  <c r="J153" i="1" s="1"/>
  <c r="K153" i="1"/>
  <c r="B154" i="1"/>
  <c r="D154" i="1" s="1"/>
  <c r="K154" i="1"/>
  <c r="B155" i="1"/>
  <c r="J155" i="1" s="1"/>
  <c r="K155" i="1"/>
  <c r="B156" i="1"/>
  <c r="J156" i="1" s="1"/>
  <c r="K156" i="1"/>
  <c r="B157" i="1"/>
  <c r="J157" i="1" s="1"/>
  <c r="K157" i="1"/>
  <c r="B158" i="1"/>
  <c r="J158" i="1" s="1"/>
  <c r="K158" i="1"/>
  <c r="B159" i="1"/>
  <c r="D159" i="1" s="1"/>
  <c r="K159" i="1"/>
  <c r="D160" i="1"/>
  <c r="J160" i="1"/>
  <c r="K160" i="1"/>
  <c r="D161" i="1"/>
  <c r="J161" i="1"/>
  <c r="K161" i="1"/>
  <c r="D163" i="1"/>
  <c r="H163" i="1"/>
  <c r="J163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B164" i="1"/>
  <c r="J164" i="1" s="1"/>
  <c r="H164" i="1"/>
  <c r="H165" i="1"/>
  <c r="H166" i="1"/>
  <c r="H167" i="1"/>
  <c r="H168" i="1"/>
  <c r="H169" i="1"/>
  <c r="H170" i="1"/>
  <c r="H171" i="1"/>
  <c r="H172" i="1"/>
  <c r="H173" i="1"/>
  <c r="H174" i="1"/>
  <c r="B165" i="1"/>
  <c r="J165" i="1" s="1"/>
  <c r="B166" i="1"/>
  <c r="D166" i="1" s="1"/>
  <c r="B167" i="1"/>
  <c r="D167" i="1" s="1"/>
  <c r="D168" i="1"/>
  <c r="J168" i="1"/>
  <c r="B169" i="1"/>
  <c r="J169" i="1" s="1"/>
  <c r="D170" i="1"/>
  <c r="J170" i="1"/>
  <c r="B171" i="1"/>
  <c r="D171" i="1" s="1"/>
  <c r="B172" i="1"/>
  <c r="J172" i="1" s="1"/>
  <c r="B173" i="1"/>
  <c r="J173" i="1" s="1"/>
  <c r="D174" i="1"/>
  <c r="J174" i="1"/>
  <c r="D176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J176" i="1"/>
  <c r="K176" i="1"/>
  <c r="B177" i="1"/>
  <c r="J177" i="1" s="1"/>
  <c r="K177" i="1"/>
  <c r="B178" i="1"/>
  <c r="J178" i="1" s="1"/>
  <c r="K178" i="1"/>
  <c r="B179" i="1"/>
  <c r="J179" i="1" s="1"/>
  <c r="K179" i="1"/>
  <c r="B180" i="1"/>
  <c r="J180" i="1" s="1"/>
  <c r="K180" i="1"/>
  <c r="B181" i="1"/>
  <c r="D181" i="1" s="1"/>
  <c r="K181" i="1"/>
  <c r="B182" i="1"/>
  <c r="D182" i="1" s="1"/>
  <c r="K182" i="1"/>
  <c r="D183" i="1"/>
  <c r="J183" i="1"/>
  <c r="K183" i="1"/>
  <c r="B184" i="1"/>
  <c r="D184" i="1" s="1"/>
  <c r="K184" i="1"/>
  <c r="B185" i="1"/>
  <c r="D185" i="1" s="1"/>
  <c r="K185" i="1"/>
  <c r="B186" i="1"/>
  <c r="D186" i="1" s="1"/>
  <c r="K186" i="1"/>
  <c r="D187" i="1"/>
  <c r="J187" i="1"/>
  <c r="K187" i="1"/>
  <c r="B189" i="1"/>
  <c r="J189" i="1" s="1"/>
  <c r="H189" i="1"/>
  <c r="K189" i="1"/>
  <c r="D190" i="1"/>
  <c r="H190" i="1"/>
  <c r="J190" i="1"/>
  <c r="K190" i="1"/>
  <c r="D191" i="1"/>
  <c r="H191" i="1"/>
  <c r="J191" i="1"/>
  <c r="K191" i="1"/>
  <c r="B192" i="1"/>
  <c r="D192" i="1" s="1"/>
  <c r="H192" i="1"/>
  <c r="K192" i="1"/>
  <c r="B193" i="1"/>
  <c r="J193" i="1" s="1"/>
  <c r="H193" i="1"/>
  <c r="K193" i="1"/>
  <c r="B194" i="1"/>
  <c r="J194" i="1" s="1"/>
  <c r="H194" i="1"/>
  <c r="K194" i="1"/>
  <c r="D195" i="1"/>
  <c r="H195" i="1"/>
  <c r="J195" i="1"/>
  <c r="K195" i="1"/>
  <c r="D196" i="1"/>
  <c r="H196" i="1"/>
  <c r="J196" i="1"/>
  <c r="K196" i="1"/>
  <c r="B197" i="1"/>
  <c r="D197" i="1" s="1"/>
  <c r="H197" i="1"/>
  <c r="K197" i="1"/>
  <c r="B198" i="1"/>
  <c r="J198" i="1" s="1"/>
  <c r="H198" i="1"/>
  <c r="K198" i="1"/>
  <c r="B199" i="1"/>
  <c r="J199" i="1" s="1"/>
  <c r="H199" i="1"/>
  <c r="K199" i="1"/>
  <c r="D200" i="1"/>
  <c r="H200" i="1"/>
  <c r="J200" i="1"/>
  <c r="K200" i="1"/>
  <c r="D202" i="1"/>
  <c r="H202" i="1"/>
  <c r="J202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D203" i="1"/>
  <c r="H203" i="1"/>
  <c r="J203" i="1"/>
  <c r="B204" i="1"/>
  <c r="J204" i="1" s="1"/>
  <c r="H204" i="1"/>
  <c r="D205" i="1"/>
  <c r="H205" i="1"/>
  <c r="J205" i="1"/>
  <c r="L205" i="1" s="1"/>
  <c r="D206" i="1"/>
  <c r="H206" i="1"/>
  <c r="J206" i="1"/>
  <c r="D207" i="1"/>
  <c r="H207" i="1"/>
  <c r="H208" i="1"/>
  <c r="H209" i="1"/>
  <c r="H210" i="1"/>
  <c r="H211" i="1"/>
  <c r="H212" i="1"/>
  <c r="H213" i="1"/>
  <c r="J207" i="1"/>
  <c r="B208" i="1"/>
  <c r="D208" i="1" s="1"/>
  <c r="D209" i="1"/>
  <c r="J209" i="1"/>
  <c r="B210" i="1"/>
  <c r="D210" i="1" s="1"/>
  <c r="D211" i="1"/>
  <c r="J211" i="1"/>
  <c r="B212" i="1"/>
  <c r="J212" i="1" s="1"/>
  <c r="B213" i="1"/>
  <c r="D213" i="1" s="1"/>
  <c r="B215" i="1"/>
  <c r="H215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B216" i="1"/>
  <c r="J216" i="1" s="1"/>
  <c r="H216" i="1"/>
  <c r="B217" i="1"/>
  <c r="D217" i="1" s="1"/>
  <c r="H217" i="1"/>
  <c r="B218" i="1"/>
  <c r="D218" i="1" s="1"/>
  <c r="H218" i="1"/>
  <c r="H219" i="1"/>
  <c r="H220" i="1"/>
  <c r="H221" i="1"/>
  <c r="H222" i="1"/>
  <c r="H223" i="1"/>
  <c r="H224" i="1"/>
  <c r="H225" i="1"/>
  <c r="H226" i="1"/>
  <c r="B219" i="1"/>
  <c r="D219" i="1" s="1"/>
  <c r="D220" i="1"/>
  <c r="J220" i="1"/>
  <c r="B221" i="1"/>
  <c r="J221" i="1" s="1"/>
  <c r="B222" i="1"/>
  <c r="J222" i="1" s="1"/>
  <c r="B223" i="1"/>
  <c r="J223" i="1" s="1"/>
  <c r="B224" i="1"/>
  <c r="J224" i="1" s="1"/>
  <c r="B225" i="1"/>
  <c r="J225" i="1" s="1"/>
  <c r="D226" i="1"/>
  <c r="J226" i="1"/>
  <c r="L226" i="1" s="1"/>
  <c r="B228" i="1"/>
  <c r="J228" i="1" s="1"/>
  <c r="H228" i="1"/>
  <c r="K228" i="1"/>
  <c r="B229" i="1"/>
  <c r="D229" i="1" s="1"/>
  <c r="H229" i="1"/>
  <c r="H230" i="1"/>
  <c r="H231" i="1"/>
  <c r="H232" i="1"/>
  <c r="H233" i="1"/>
  <c r="H234" i="1"/>
  <c r="H235" i="1"/>
  <c r="H236" i="1"/>
  <c r="H237" i="1"/>
  <c r="H238" i="1"/>
  <c r="H239" i="1"/>
  <c r="K229" i="1"/>
  <c r="B230" i="1"/>
  <c r="D230" i="1" s="1"/>
  <c r="K230" i="1"/>
  <c r="K231" i="1"/>
  <c r="K232" i="1"/>
  <c r="K233" i="1"/>
  <c r="K234" i="1"/>
  <c r="K235" i="1"/>
  <c r="K236" i="1"/>
  <c r="K237" i="1"/>
  <c r="K238" i="1"/>
  <c r="K239" i="1"/>
  <c r="B231" i="1"/>
  <c r="J231" i="1" s="1"/>
  <c r="B232" i="1"/>
  <c r="D232" i="1" s="1"/>
  <c r="B233" i="1"/>
  <c r="J233" i="1" s="1"/>
  <c r="B234" i="1"/>
  <c r="J234" i="1" s="1"/>
  <c r="B235" i="1"/>
  <c r="J235" i="1" s="1"/>
  <c r="B236" i="1"/>
  <c r="J236" i="1" s="1"/>
  <c r="B237" i="1"/>
  <c r="J237" i="1" s="1"/>
  <c r="B238" i="1"/>
  <c r="J238" i="1" s="1"/>
  <c r="B239" i="1"/>
  <c r="J239" i="1" s="1"/>
  <c r="B241" i="1"/>
  <c r="J241" i="1" s="1"/>
  <c r="B242" i="1"/>
  <c r="J242" i="1" s="1"/>
  <c r="B243" i="1"/>
  <c r="J243" i="1" s="1"/>
  <c r="B244" i="1"/>
  <c r="D244" i="1" s="1"/>
  <c r="B245" i="1"/>
  <c r="D245" i="1" s="1"/>
  <c r="B246" i="1"/>
  <c r="D246" i="1" s="1"/>
  <c r="B247" i="1"/>
  <c r="J247" i="1" s="1"/>
  <c r="B249" i="1"/>
  <c r="D249" i="1" s="1"/>
  <c r="B250" i="1"/>
  <c r="J250" i="1" s="1"/>
  <c r="B252" i="1"/>
  <c r="J252" i="1" s="1"/>
  <c r="H241" i="1"/>
  <c r="H242" i="1"/>
  <c r="H243" i="1"/>
  <c r="H244" i="1"/>
  <c r="H245" i="1"/>
  <c r="H246" i="1"/>
  <c r="H247" i="1"/>
  <c r="H248" i="1"/>
  <c r="H249" i="1"/>
  <c r="H250" i="1"/>
  <c r="H251" i="1"/>
  <c r="H252" i="1"/>
  <c r="K241" i="1"/>
  <c r="K242" i="1"/>
  <c r="K243" i="1"/>
  <c r="K244" i="1"/>
  <c r="K245" i="1"/>
  <c r="K246" i="1"/>
  <c r="K247" i="1"/>
  <c r="D248" i="1"/>
  <c r="J248" i="1"/>
  <c r="K248" i="1"/>
  <c r="K249" i="1"/>
  <c r="K250" i="1"/>
  <c r="D251" i="1"/>
  <c r="J251" i="1"/>
  <c r="K251" i="1"/>
  <c r="K252" i="1"/>
  <c r="B254" i="1"/>
  <c r="D254" i="1" s="1"/>
  <c r="H254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B255" i="1"/>
  <c r="D255" i="1" s="1"/>
  <c r="H255" i="1"/>
  <c r="B256" i="1"/>
  <c r="D256" i="1" s="1"/>
  <c r="H256" i="1"/>
  <c r="B257" i="1"/>
  <c r="D257" i="1" s="1"/>
  <c r="H257" i="1"/>
  <c r="B258" i="1"/>
  <c r="D258" i="1" s="1"/>
  <c r="H258" i="1"/>
  <c r="B259" i="1"/>
  <c r="D259" i="1" s="1"/>
  <c r="H259" i="1"/>
  <c r="B260" i="1"/>
  <c r="D260" i="1" s="1"/>
  <c r="H260" i="1"/>
  <c r="B261" i="1"/>
  <c r="J261" i="1" s="1"/>
  <c r="H261" i="1"/>
  <c r="B262" i="1"/>
  <c r="J262" i="1" s="1"/>
  <c r="H262" i="1"/>
  <c r="D263" i="1"/>
  <c r="H263" i="1"/>
  <c r="J263" i="1"/>
  <c r="B264" i="1"/>
  <c r="J264" i="1" s="1"/>
  <c r="H264" i="1"/>
  <c r="H265" i="1"/>
  <c r="D265" i="1"/>
  <c r="J265" i="1"/>
  <c r="B267" i="1"/>
  <c r="J267" i="1" s="1"/>
  <c r="H267" i="1"/>
  <c r="K267" i="1"/>
  <c r="K268" i="1"/>
  <c r="K269" i="1"/>
  <c r="K270" i="1"/>
  <c r="K271" i="1"/>
  <c r="K272" i="1"/>
  <c r="K273" i="1"/>
  <c r="K274" i="1"/>
  <c r="K275" i="1"/>
  <c r="K276" i="1"/>
  <c r="K277" i="1"/>
  <c r="B268" i="1"/>
  <c r="J268" i="1" s="1"/>
  <c r="H268" i="1"/>
  <c r="B269" i="1"/>
  <c r="D269" i="1" s="1"/>
  <c r="H269" i="1"/>
  <c r="B270" i="1"/>
  <c r="J270" i="1" s="1"/>
  <c r="H270" i="1"/>
  <c r="B271" i="1"/>
  <c r="J271" i="1" s="1"/>
  <c r="H271" i="1"/>
  <c r="H272" i="1"/>
  <c r="H273" i="1"/>
  <c r="H274" i="1"/>
  <c r="H275" i="1"/>
  <c r="H276" i="1"/>
  <c r="H277" i="1"/>
  <c r="B272" i="1"/>
  <c r="D272" i="1" s="1"/>
  <c r="B273" i="1"/>
  <c r="D273" i="1" s="1"/>
  <c r="D274" i="1"/>
  <c r="J274" i="1"/>
  <c r="B275" i="1"/>
  <c r="J275" i="1" s="1"/>
  <c r="B276" i="1"/>
  <c r="J276" i="1" s="1"/>
  <c r="D277" i="1"/>
  <c r="J277" i="1"/>
  <c r="D278" i="1"/>
  <c r="H278" i="1"/>
  <c r="J278" i="1"/>
  <c r="K278" i="1"/>
  <c r="B280" i="1"/>
  <c r="D280" i="1" s="1"/>
  <c r="H280" i="1"/>
  <c r="H281" i="1"/>
  <c r="H282" i="1"/>
  <c r="H283" i="1"/>
  <c r="H284" i="1"/>
  <c r="H285" i="1"/>
  <c r="H286" i="1"/>
  <c r="H287" i="1"/>
  <c r="H288" i="1"/>
  <c r="H28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D281" i="1"/>
  <c r="J281" i="1"/>
  <c r="B282" i="1"/>
  <c r="J282" i="1" s="1"/>
  <c r="B283" i="1"/>
  <c r="D283" i="1" s="1"/>
  <c r="B284" i="1"/>
  <c r="D284" i="1" s="1"/>
  <c r="B285" i="1"/>
  <c r="J285" i="1" s="1"/>
  <c r="B286" i="1"/>
  <c r="D286" i="1" s="1"/>
  <c r="D287" i="1"/>
  <c r="J287" i="1"/>
  <c r="B288" i="1"/>
  <c r="J288" i="1" s="1"/>
  <c r="B289" i="1"/>
  <c r="D289" i="1" s="1"/>
  <c r="B290" i="1"/>
  <c r="J290" i="1" s="1"/>
  <c r="D291" i="1"/>
  <c r="J291" i="1"/>
  <c r="B293" i="1"/>
  <c r="K293" i="1"/>
  <c r="H293" i="1"/>
  <c r="L365" i="1" l="1"/>
  <c r="J31" i="1"/>
  <c r="K31" i="1"/>
  <c r="D31" i="1"/>
  <c r="L370" i="1"/>
  <c r="L369" i="1"/>
  <c r="D30" i="1"/>
  <c r="L367" i="1"/>
  <c r="E360" i="1"/>
  <c r="E361" i="1" s="1"/>
  <c r="E362" i="1" s="1"/>
  <c r="E363" i="1" s="1"/>
  <c r="E364" i="1" s="1"/>
  <c r="E365" i="1" s="1"/>
  <c r="E366" i="1" s="1"/>
  <c r="E367" i="1" s="1"/>
  <c r="E368" i="1" s="1"/>
  <c r="E369" i="1" s="1"/>
  <c r="E370" i="1" s="1"/>
  <c r="E31" i="1" s="1"/>
  <c r="L368" i="1"/>
  <c r="L360" i="1"/>
  <c r="M360" i="1" s="1"/>
  <c r="M361" i="1" s="1"/>
  <c r="M362" i="1" s="1"/>
  <c r="M363" i="1" s="1"/>
  <c r="M364" i="1" s="1"/>
  <c r="M365" i="1" s="1"/>
  <c r="L366" i="1"/>
  <c r="K7" i="1"/>
  <c r="L89" i="1"/>
  <c r="D46" i="1"/>
  <c r="L46" i="1" s="1"/>
  <c r="J46" i="1"/>
  <c r="D165" i="1"/>
  <c r="D169" i="1"/>
  <c r="M9" i="1"/>
  <c r="J311" i="1"/>
  <c r="L311" i="1" s="1"/>
  <c r="K9" i="1"/>
  <c r="L140" i="1"/>
  <c r="L118" i="1"/>
  <c r="L103" i="1"/>
  <c r="L267" i="1"/>
  <c r="D189" i="1"/>
  <c r="L275" i="1"/>
  <c r="L165" i="1"/>
  <c r="L220" i="1"/>
  <c r="J154" i="1"/>
  <c r="L154" i="1" s="1"/>
  <c r="D262" i="1"/>
  <c r="L109" i="1"/>
  <c r="L101" i="1"/>
  <c r="L224" i="1"/>
  <c r="D294" i="1"/>
  <c r="L111" i="1"/>
  <c r="D178" i="1"/>
  <c r="D194" i="1"/>
  <c r="L183" i="1"/>
  <c r="D242" i="1"/>
  <c r="J186" i="1"/>
  <c r="L186" i="1" s="1"/>
  <c r="J218" i="1"/>
  <c r="L218" i="1" s="1"/>
  <c r="L212" i="1"/>
  <c r="D264" i="1"/>
  <c r="L94" i="1"/>
  <c r="J272" i="1"/>
  <c r="L272" i="1" s="1"/>
  <c r="J258" i="1"/>
  <c r="L258" i="1" s="1"/>
  <c r="L221" i="1"/>
  <c r="L204" i="1"/>
  <c r="L113" i="1"/>
  <c r="L108" i="1"/>
  <c r="L104" i="1"/>
  <c r="D302" i="1"/>
  <c r="L264" i="1"/>
  <c r="D156" i="1"/>
  <c r="D233" i="1"/>
  <c r="J208" i="1"/>
  <c r="L208" i="1" s="1"/>
  <c r="L79" i="1"/>
  <c r="J246" i="1"/>
  <c r="L246" i="1" s="1"/>
  <c r="L131" i="1"/>
  <c r="L129" i="1"/>
  <c r="L127" i="1"/>
  <c r="L125" i="1"/>
  <c r="L115" i="1"/>
  <c r="D179" i="1"/>
  <c r="D270" i="1"/>
  <c r="J244" i="1"/>
  <c r="L244" i="1" s="1"/>
  <c r="D236" i="1"/>
  <c r="L85" i="1"/>
  <c r="L82" i="1"/>
  <c r="J8" i="1"/>
  <c r="M6" i="1"/>
  <c r="J232" i="1"/>
  <c r="L232" i="1" s="1"/>
  <c r="J306" i="1"/>
  <c r="L306" i="1" s="1"/>
  <c r="D173" i="1"/>
  <c r="K23" i="1"/>
  <c r="D235" i="1"/>
  <c r="L174" i="1"/>
  <c r="J10" i="1"/>
  <c r="L242" i="1"/>
  <c r="D228" i="1"/>
  <c r="D180" i="1"/>
  <c r="L176" i="1"/>
  <c r="M10" i="1"/>
  <c r="J6" i="1"/>
  <c r="D308" i="1"/>
  <c r="J259" i="1"/>
  <c r="L259" i="1" s="1"/>
  <c r="L196" i="1"/>
  <c r="L86" i="1"/>
  <c r="L251" i="1"/>
  <c r="L139" i="1"/>
  <c r="L62" i="1"/>
  <c r="K8" i="1"/>
  <c r="L300" i="1"/>
  <c r="L290" i="1"/>
  <c r="L265" i="1"/>
  <c r="J249" i="1"/>
  <c r="L249" i="1" s="1"/>
  <c r="L231" i="1"/>
  <c r="J229" i="1"/>
  <c r="L229" i="1" s="1"/>
  <c r="D225" i="1"/>
  <c r="J213" i="1"/>
  <c r="L213" i="1" s="1"/>
  <c r="D153" i="1"/>
  <c r="L147" i="1"/>
  <c r="L69" i="1"/>
  <c r="E350" i="1"/>
  <c r="E351" i="1" s="1"/>
  <c r="D282" i="1"/>
  <c r="D288" i="1"/>
  <c r="D224" i="1"/>
  <c r="L206" i="1"/>
  <c r="L191" i="1"/>
  <c r="D177" i="1"/>
  <c r="L153" i="1"/>
  <c r="J185" i="1"/>
  <c r="L185" i="1" s="1"/>
  <c r="L77" i="1"/>
  <c r="L64" i="1"/>
  <c r="J166" i="1"/>
  <c r="L166" i="1" s="1"/>
  <c r="D221" i="1"/>
  <c r="L239" i="1"/>
  <c r="D222" i="1"/>
  <c r="D11" i="1"/>
  <c r="J286" i="1"/>
  <c r="L286" i="1" s="1"/>
  <c r="L237" i="1"/>
  <c r="J182" i="1"/>
  <c r="L182" i="1" s="1"/>
  <c r="L172" i="1"/>
  <c r="L99" i="1"/>
  <c r="L83" i="1"/>
  <c r="L81" i="1"/>
  <c r="H9" i="1"/>
  <c r="L299" i="1"/>
  <c r="L303" i="1"/>
  <c r="L30" i="1"/>
  <c r="H135" i="1"/>
  <c r="D237" i="1"/>
  <c r="J289" i="1"/>
  <c r="L289" i="1" s="1"/>
  <c r="L75" i="1"/>
  <c r="L312" i="1"/>
  <c r="D164" i="1"/>
  <c r="D310" i="1"/>
  <c r="J280" i="1"/>
  <c r="L280" i="1" s="1"/>
  <c r="L276" i="1"/>
  <c r="L236" i="1"/>
  <c r="L209" i="1"/>
  <c r="L198" i="1"/>
  <c r="D158" i="1"/>
  <c r="L142" i="1"/>
  <c r="L132" i="1"/>
  <c r="L130" i="1"/>
  <c r="L128" i="1"/>
  <c r="L126" i="1"/>
  <c r="L120" i="1"/>
  <c r="L105" i="1"/>
  <c r="L250" i="1"/>
  <c r="D157" i="1"/>
  <c r="J192" i="1"/>
  <c r="L192" i="1" s="1"/>
  <c r="L248" i="1"/>
  <c r="B20" i="1"/>
  <c r="H26" i="1"/>
  <c r="L180" i="1"/>
  <c r="D271" i="1"/>
  <c r="D267" i="1"/>
  <c r="D199" i="1"/>
  <c r="D6" i="1"/>
  <c r="D239" i="1"/>
  <c r="J135" i="1"/>
  <c r="L135" i="1" s="1"/>
  <c r="L145" i="1"/>
  <c r="D204" i="1"/>
  <c r="D238" i="1"/>
  <c r="D12" i="1"/>
  <c r="D8" i="1"/>
  <c r="J181" i="1"/>
  <c r="L181" i="1" s="1"/>
  <c r="D290" i="1"/>
  <c r="F13" i="1"/>
  <c r="H13" i="1" s="1"/>
  <c r="L274" i="1"/>
  <c r="D234" i="1"/>
  <c r="L216" i="1"/>
  <c r="L207" i="1"/>
  <c r="L170" i="1"/>
  <c r="L87" i="1"/>
  <c r="L296" i="1"/>
  <c r="L282" i="1"/>
  <c r="L223" i="1"/>
  <c r="H19" i="1"/>
  <c r="H17" i="1"/>
  <c r="L163" i="1"/>
  <c r="L157" i="1"/>
  <c r="L117" i="1"/>
  <c r="L74" i="1"/>
  <c r="M7" i="1"/>
  <c r="L297" i="1"/>
  <c r="L285" i="1"/>
  <c r="H22" i="1"/>
  <c r="L238" i="1"/>
  <c r="L211" i="1"/>
  <c r="K15" i="1"/>
  <c r="L151" i="1"/>
  <c r="L281" i="1"/>
  <c r="L243" i="1"/>
  <c r="K20" i="1"/>
  <c r="L194" i="1"/>
  <c r="L169" i="1"/>
  <c r="L119" i="1"/>
  <c r="L112" i="1"/>
  <c r="L76" i="1"/>
  <c r="L67" i="1"/>
  <c r="L301" i="1"/>
  <c r="L164" i="1"/>
  <c r="L106" i="1"/>
  <c r="L91" i="1"/>
  <c r="L63" i="1"/>
  <c r="H11" i="1"/>
  <c r="K10" i="1"/>
  <c r="L308" i="1"/>
  <c r="D7" i="1"/>
  <c r="L261" i="1"/>
  <c r="L270" i="1"/>
  <c r="L263" i="1"/>
  <c r="L225" i="1"/>
  <c r="L193" i="1"/>
  <c r="L190" i="1"/>
  <c r="L173" i="1"/>
  <c r="L161" i="1"/>
  <c r="L121" i="1"/>
  <c r="L78" i="1"/>
  <c r="L65" i="1"/>
  <c r="H12" i="1"/>
  <c r="D10" i="1"/>
  <c r="L298" i="1"/>
  <c r="L302" i="1"/>
  <c r="H10" i="1"/>
  <c r="H24" i="1"/>
  <c r="L155" i="1"/>
  <c r="L150" i="1"/>
  <c r="L141" i="1"/>
  <c r="L122" i="1"/>
  <c r="L95" i="1"/>
  <c r="L90" i="1"/>
  <c r="L80" i="1"/>
  <c r="L68" i="1"/>
  <c r="M8" i="1"/>
  <c r="L313" i="1"/>
  <c r="H23" i="1"/>
  <c r="J7" i="1"/>
  <c r="B16" i="1"/>
  <c r="D276" i="1"/>
  <c r="J283" i="1"/>
  <c r="L283" i="1" s="1"/>
  <c r="D243" i="1"/>
  <c r="L233" i="1"/>
  <c r="J167" i="1"/>
  <c r="B26" i="1"/>
  <c r="L287" i="1"/>
  <c r="L277" i="1"/>
  <c r="L268" i="1"/>
  <c r="L222" i="1"/>
  <c r="L179" i="1"/>
  <c r="L92" i="1"/>
  <c r="L72" i="1"/>
  <c r="H6" i="1"/>
  <c r="L294" i="1"/>
  <c r="K27" i="1"/>
  <c r="D295" i="1"/>
  <c r="J256" i="1"/>
  <c r="L256" i="1" s="1"/>
  <c r="J260" i="1"/>
  <c r="L260" i="1" s="1"/>
  <c r="J307" i="1"/>
  <c r="L307" i="1" s="1"/>
  <c r="L291" i="1"/>
  <c r="L271" i="1"/>
  <c r="B24" i="1"/>
  <c r="K24" i="1"/>
  <c r="L262" i="1"/>
  <c r="J257" i="1"/>
  <c r="L257" i="1" s="1"/>
  <c r="L247" i="1"/>
  <c r="L228" i="1"/>
  <c r="D212" i="1"/>
  <c r="L200" i="1"/>
  <c r="D198" i="1"/>
  <c r="L158" i="1"/>
  <c r="D155" i="1"/>
  <c r="L152" i="1"/>
  <c r="L146" i="1"/>
  <c r="L148" i="1"/>
  <c r="L114" i="1"/>
  <c r="L100" i="1"/>
  <c r="D9" i="1"/>
  <c r="K6" i="1"/>
  <c r="J210" i="1"/>
  <c r="L210" i="1" s="1"/>
  <c r="H25" i="1"/>
  <c r="H21" i="1"/>
  <c r="H20" i="1"/>
  <c r="L160" i="1"/>
  <c r="L96" i="1"/>
  <c r="H8" i="1"/>
  <c r="L295" i="1"/>
  <c r="B27" i="1"/>
  <c r="D261" i="1"/>
  <c r="K17" i="1"/>
  <c r="B19" i="1"/>
  <c r="L252" i="1"/>
  <c r="D14" i="1"/>
  <c r="B17" i="1"/>
  <c r="K16" i="1"/>
  <c r="D250" i="1"/>
  <c r="J304" i="1"/>
  <c r="L304" i="1" s="1"/>
  <c r="K19" i="1"/>
  <c r="L178" i="1"/>
  <c r="H16" i="1"/>
  <c r="L70" i="1"/>
  <c r="D231" i="1"/>
  <c r="L288" i="1"/>
  <c r="L168" i="1"/>
  <c r="J255" i="1"/>
  <c r="L255" i="1" s="1"/>
  <c r="J217" i="1"/>
  <c r="L217" i="1" s="1"/>
  <c r="D216" i="1"/>
  <c r="J159" i="1"/>
  <c r="L159" i="1" s="1"/>
  <c r="J309" i="1"/>
  <c r="L309" i="1" s="1"/>
  <c r="K25" i="1"/>
  <c r="K21" i="1"/>
  <c r="L199" i="1"/>
  <c r="L195" i="1"/>
  <c r="L189" i="1"/>
  <c r="K14" i="1"/>
  <c r="L73" i="1"/>
  <c r="J219" i="1"/>
  <c r="L219" i="1" s="1"/>
  <c r="L144" i="1"/>
  <c r="J171" i="1"/>
  <c r="L171" i="1" s="1"/>
  <c r="L278" i="1"/>
  <c r="K22" i="1"/>
  <c r="J245" i="1"/>
  <c r="L245" i="1" s="1"/>
  <c r="L235" i="1"/>
  <c r="L234" i="1"/>
  <c r="D223" i="1"/>
  <c r="J215" i="1"/>
  <c r="L215" i="1" s="1"/>
  <c r="L203" i="1"/>
  <c r="L202" i="1"/>
  <c r="H15" i="1"/>
  <c r="L138" i="1"/>
  <c r="L107" i="1"/>
  <c r="L93" i="1"/>
  <c r="L88" i="1"/>
  <c r="H7" i="1"/>
  <c r="K26" i="1"/>
  <c r="L187" i="1"/>
  <c r="L143" i="1"/>
  <c r="L134" i="1"/>
  <c r="L133" i="1"/>
  <c r="L116" i="1"/>
  <c r="J11" i="1"/>
  <c r="D13" i="1"/>
  <c r="L5" i="1"/>
  <c r="H27" i="1"/>
  <c r="J14" i="1"/>
  <c r="L241" i="1"/>
  <c r="L310" i="1"/>
  <c r="L177" i="1"/>
  <c r="L156" i="1"/>
  <c r="B21" i="1"/>
  <c r="J12" i="1"/>
  <c r="L124" i="1"/>
  <c r="L137" i="1"/>
  <c r="J269" i="1"/>
  <c r="D252" i="1"/>
  <c r="J293" i="1"/>
  <c r="D285" i="1"/>
  <c r="K11" i="1"/>
  <c r="B23" i="1"/>
  <c r="L98" i="1"/>
  <c r="F14" i="1"/>
  <c r="D293" i="1"/>
  <c r="D275" i="1"/>
  <c r="J197" i="1"/>
  <c r="L197" i="1" s="1"/>
  <c r="K12" i="1"/>
  <c r="J254" i="1"/>
  <c r="B15" i="1"/>
  <c r="B25" i="1"/>
  <c r="J9" i="1"/>
  <c r="H148" i="1"/>
  <c r="H14" i="1" s="1"/>
  <c r="J273" i="1"/>
  <c r="L273" i="1" s="1"/>
  <c r="J184" i="1"/>
  <c r="L184" i="1" s="1"/>
  <c r="D215" i="1"/>
  <c r="B22" i="1"/>
  <c r="J284" i="1"/>
  <c r="L284" i="1" s="1"/>
  <c r="D268" i="1"/>
  <c r="D241" i="1"/>
  <c r="J230" i="1"/>
  <c r="D193" i="1"/>
  <c r="D172" i="1"/>
  <c r="K13" i="1"/>
  <c r="D247" i="1"/>
  <c r="L31" i="1" l="1"/>
  <c r="M366" i="1"/>
  <c r="M367" i="1" s="1"/>
  <c r="M368" i="1" s="1"/>
  <c r="M369" i="1" s="1"/>
  <c r="M31" i="1" s="1"/>
  <c r="D27" i="1"/>
  <c r="E352" i="1"/>
  <c r="E353" i="1" s="1"/>
  <c r="E354" i="1" s="1"/>
  <c r="E355" i="1" s="1"/>
  <c r="E356" i="1" s="1"/>
  <c r="D23" i="1"/>
  <c r="L11" i="1"/>
  <c r="J19" i="1"/>
  <c r="J13" i="1"/>
  <c r="L13" i="1" s="1"/>
  <c r="D17" i="1"/>
  <c r="L8" i="1"/>
  <c r="L6" i="1"/>
  <c r="J22" i="1"/>
  <c r="D25" i="1"/>
  <c r="L9" i="1"/>
  <c r="J15" i="1"/>
  <c r="L10" i="1"/>
  <c r="D19" i="1"/>
  <c r="L19" i="1"/>
  <c r="L7" i="1"/>
  <c r="L20" i="1"/>
  <c r="D15" i="1"/>
  <c r="D16" i="1"/>
  <c r="D21" i="1"/>
  <c r="D24" i="1"/>
  <c r="J20" i="1"/>
  <c r="D26" i="1"/>
  <c r="D20" i="1"/>
  <c r="J16" i="1"/>
  <c r="L167" i="1"/>
  <c r="L16" i="1" s="1"/>
  <c r="L22" i="1"/>
  <c r="L14" i="1"/>
  <c r="D22" i="1"/>
  <c r="L25" i="1"/>
  <c r="L12" i="1"/>
  <c r="L17" i="1"/>
  <c r="L27" i="1"/>
  <c r="L15" i="1"/>
  <c r="J27" i="1"/>
  <c r="J23" i="1"/>
  <c r="L254" i="1"/>
  <c r="L23" i="1" s="1"/>
  <c r="L269" i="1"/>
  <c r="L24" i="1" s="1"/>
  <c r="J24" i="1"/>
  <c r="J25" i="1"/>
  <c r="J21" i="1"/>
  <c r="L230" i="1"/>
  <c r="L21" i="1" s="1"/>
  <c r="J26" i="1"/>
  <c r="L293" i="1"/>
  <c r="L26" i="1" s="1"/>
  <c r="J17" i="1"/>
</calcChain>
</file>

<file path=xl/sharedStrings.xml><?xml version="1.0" encoding="utf-8"?>
<sst xmlns="http://schemas.openxmlformats.org/spreadsheetml/2006/main" count="343" uniqueCount="24">
  <si>
    <t>BUNDESANLEIHEN</t>
  </si>
  <si>
    <t>BUNDESOBLIGATIONEN</t>
  </si>
  <si>
    <t>BUND INSGESAMT</t>
  </si>
  <si>
    <t xml:space="preserve">Umlauf </t>
  </si>
  <si>
    <t>Tilgungen</t>
  </si>
  <si>
    <t>Umlauf</t>
  </si>
  <si>
    <t>Brutto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</si>
  <si>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</si>
  <si>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</si>
  <si>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</si>
  <si>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</si>
  <si>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</si>
  <si>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</si>
  <si>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</si>
  <si>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</si>
  <si>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</si>
  <si>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</si>
  <si>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</si>
  <si>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</si>
  <si>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Emissionsstatistik zu Bundesemissionen</t>
  </si>
  <si>
    <t>Netto</t>
  </si>
  <si>
    <t>Quelle: OeKB</t>
  </si>
  <si>
    <t>in Mio EUR</t>
  </si>
  <si>
    <t>Stand: 31.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</si>
</sst>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0"/>
      <name val="CorpoS"/>
    </font>
    <font>
      <sz val="8"/>
      <name val="CorpoS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Montserrat OeKB"/>
    </font>
    <font>
      <b/>
      <sz val="10"/>
      <name val="Montserrat OeKB"/>
    </font>
    <font>
      <sz val="9"/>
      <name val="Montserrat OeKB"/>
    </font>
    <font>
      <sz val="18"/>
      <name val="Montserrat OeKB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9"/>
      </bottom>
      <diagonal/>
    </border>
    <border>
      <left/>
      <right style="thin">
        <color indexed="64"/>
      </right>
      <top style="medium">
        <color indexed="9"/>
      </top>
      <bottom style="medium">
        <color indexed="9"/>
      </bottom>
      <diagonal/>
    </border>
    <border>
      <left style="thin">
        <color indexed="64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 style="thin">
        <color indexed="64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thin">
        <color indexed="64"/>
      </right>
      <top style="medium">
        <color indexed="9"/>
      </top>
      <bottom style="medium">
        <color indexed="9"/>
      </bottom>
      <diagonal/>
    </border>
    <border>
      <left style="thin">
        <color indexed="64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</borders>
  <cellStyleXfs count="6">
    <xf numFmtId="0" fontId="0" fillId="0" borderId="0"/>
    <xf numFmtId="43" fontId="9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" fillId="0" borderId="0"/>
    <xf numFmtId="0" fontId="4" fillId="0" borderId="0"/>
  </cellStyleXfs>
  <cellXfs count="38">
    <xf numFmtId="0" fontId="0" fillId="0" borderId="0" xfId="0"/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0" borderId="2" xfId="0" applyNumberFormat="1" applyFont="1" applyBorder="1" applyAlignment="1">
      <alignment horizontal="center"/>
    </xf>
    <xf numFmtId="0" fontId="6" fillId="2" borderId="3" xfId="0" applyFont="1" applyFill="1" applyBorder="1" applyAlignment="1">
      <alignment horizontal="left"/>
    </xf>
    <xf numFmtId="0" fontId="7" fillId="0" borderId="4" xfId="0" applyFont="1" applyBorder="1" applyAlignment="1">
      <alignment horizontal="left" vertical="center"/>
    </xf>
    <xf numFmtId="0" fontId="6" fillId="2" borderId="4" xfId="0" applyFont="1" applyFill="1" applyBorder="1" applyAlignment="1">
      <alignment horizontal="left"/>
    </xf>
    <xf numFmtId="4" fontId="5" fillId="0" borderId="0" xfId="0" applyNumberFormat="1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top"/>
    </xf>
    <xf numFmtId="0" fontId="8" fillId="0" borderId="0" xfId="0" applyFont="1"/>
    <xf numFmtId="14" fontId="8" fillId="0" borderId="0" xfId="0" applyNumberFormat="1" applyFont="1"/>
    <xf numFmtId="4" fontId="5" fillId="0" borderId="1" xfId="0" applyNumberFormat="1" applyFont="1" applyBorder="1" applyAlignment="1">
      <alignment horizontal="right"/>
    </xf>
    <xf numFmtId="4" fontId="5" fillId="0" borderId="0" xfId="0" applyNumberFormat="1" applyFont="1" applyAlignment="1">
      <alignment horizontal="right"/>
    </xf>
    <xf numFmtId="4" fontId="5" fillId="0" borderId="2" xfId="0" applyNumberFormat="1" applyFont="1" applyBorder="1" applyAlignment="1">
      <alignment horizontal="right"/>
    </xf>
    <xf numFmtId="0" fontId="5" fillId="2" borderId="5" xfId="0" applyFont="1" applyFill="1" applyBorder="1" applyAlignment="1">
      <alignment horizontal="right"/>
    </xf>
    <xf numFmtId="0" fontId="5" fillId="2" borderId="6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right"/>
    </xf>
    <xf numFmtId="4" fontId="5" fillId="0" borderId="7" xfId="0" applyNumberFormat="1" applyFont="1" applyBorder="1" applyAlignment="1">
      <alignment horizontal="right"/>
    </xf>
    <xf numFmtId="4" fontId="5" fillId="0" borderId="8" xfId="0" applyNumberFormat="1" applyFont="1" applyBorder="1" applyAlignment="1">
      <alignment horizontal="right"/>
    </xf>
    <xf numFmtId="4" fontId="5" fillId="0" borderId="9" xfId="0" applyNumberFormat="1" applyFont="1" applyBorder="1" applyAlignment="1">
      <alignment horizontal="right"/>
    </xf>
    <xf numFmtId="4" fontId="5" fillId="0" borderId="7" xfId="0" quotePrefix="1" applyNumberFormat="1" applyFont="1" applyBorder="1" applyAlignment="1">
      <alignment horizontal="right"/>
    </xf>
    <xf numFmtId="4" fontId="5" fillId="0" borderId="8" xfId="0" quotePrefix="1" applyNumberFormat="1" applyFont="1" applyBorder="1" applyAlignment="1">
      <alignment horizontal="right"/>
    </xf>
    <xf numFmtId="0" fontId="5" fillId="2" borderId="10" xfId="0" applyFont="1" applyFill="1" applyBorder="1" applyAlignment="1">
      <alignment horizontal="right"/>
    </xf>
    <xf numFmtId="0" fontId="5" fillId="2" borderId="11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right"/>
    </xf>
    <xf numFmtId="14" fontId="5" fillId="0" borderId="11" xfId="0" applyNumberFormat="1" applyFont="1" applyBorder="1" applyAlignment="1">
      <alignment horizontal="left"/>
    </xf>
    <xf numFmtId="4" fontId="5" fillId="0" borderId="11" xfId="0" applyNumberFormat="1" applyFont="1" applyBorder="1" applyAlignment="1">
      <alignment horizontal="right"/>
    </xf>
    <xf numFmtId="4" fontId="5" fillId="0" borderId="4" xfId="0" applyNumberFormat="1" applyFont="1" applyBorder="1" applyAlignment="1">
      <alignment horizontal="right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</cellXfs>
  <cellStyles count="6">
    <cellStyle name="Komma 2" xfId="1" xr:uid="{00000000-0005-0000-0000-000000000000}"/>
    <cellStyle name="Link 2" xfId="2" xr:uid="{00000000-0005-0000-0000-000001000000}"/>
    <cellStyle name="Standard" xfId="0" builtinId="0"/>
    <cellStyle name="Standard 2" xfId="3" xr:uid="{00000000-0005-0000-0000-000003000000}"/>
    <cellStyle name="Standard 3" xfId="4" xr:uid="{00000000-0005-0000-0000-000004000000}"/>
    <cellStyle name="Standard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190500</xdr:rowOff>
    </xdr:from>
    <xdr:to>
      <xdr:col>12</xdr:col>
      <xdr:colOff>406400</xdr:colOff>
      <xdr:row>0</xdr:row>
      <xdr:rowOff>552450</xdr:rowOff>
    </xdr:to>
    <xdr:pic>
      <xdr:nvPicPr>
        <xdr:cNvPr id="1513" name="shp_Logo_OeKB_DEU_4c">
          <a:extLst>
            <a:ext uri="{FF2B5EF4-FFF2-40B4-BE49-F238E27FC236}">
              <a16:creationId xmlns:a16="http://schemas.microsoft.com/office/drawing/2014/main" id="{C2995495-8791-2753-AB50-8780E3B5B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190500"/>
          <a:ext cx="1238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D386"/>
  <sheetViews>
    <sheetView showGridLines="0" tabSelected="1" zoomScaleNormal="100" workbookViewId="0"/>
  </sheetViews>
  <sheetFormatPr baseColWidth="10" defaultColWidth="11.453125" defaultRowHeight="15" x14ac:dyDescent="0.4"/>
  <cols>
    <col min="1" max="13" width="12.453125" style="1" customWidth="1"/>
    <col min="14" max="28" width="11.453125" style="1"/>
    <col min="29" max="29" width="23" style="1" bestFit="1" customWidth="1"/>
    <col min="30" max="16384" width="11.453125" style="1"/>
  </cols>
  <sheetData>
    <row r="1" spans="1:30" s="15" customFormat="1" ht="50.25" customHeight="1" x14ac:dyDescent="0.75">
      <c r="A1" s="14" t="s">
        <v>19</v>
      </c>
      <c r="AC1" s="16">
        <f ca="1">+TODAY()</f>
        <v>46266</v>
      </c>
      <c r="AD1" s="16" t="str">
        <f ca="1">TEXT(AC1,"TT.MM.JJJJ")</f>
        <v>01.09.2026</v>
      </c>
    </row>
    <row r="2" spans="1:30" ht="19.5" customHeight="1" x14ac:dyDescent="0.4">
      <c r="A2" s="37" t="s">
        <v>22</v>
      </c>
      <c r="B2" s="34" t="s">
        <v>0</v>
      </c>
      <c r="C2" s="35"/>
      <c r="D2" s="35"/>
      <c r="E2" s="36"/>
      <c r="F2" s="34" t="s">
        <v>1</v>
      </c>
      <c r="G2" s="35"/>
      <c r="H2" s="35"/>
      <c r="I2" s="36"/>
      <c r="J2" s="34" t="s">
        <v>2</v>
      </c>
      <c r="K2" s="35"/>
      <c r="L2" s="35"/>
      <c r="M2" s="36"/>
    </row>
    <row r="3" spans="1:30" ht="19" customHeight="1" x14ac:dyDescent="0.4">
      <c r="A3" s="37"/>
      <c r="B3" s="2" t="s">
        <v>6</v>
      </c>
      <c r="C3" s="3" t="s">
        <v>4</v>
      </c>
      <c r="D3" s="3" t="s">
        <v>20</v>
      </c>
      <c r="E3" s="4" t="s">
        <v>3</v>
      </c>
      <c r="F3" s="2" t="s">
        <v>6</v>
      </c>
      <c r="G3" s="3" t="s">
        <v>4</v>
      </c>
      <c r="H3" s="3" t="s">
        <v>20</v>
      </c>
      <c r="I3" s="4" t="s">
        <v>5</v>
      </c>
      <c r="J3" s="2" t="s">
        <v>6</v>
      </c>
      <c r="K3" s="3" t="s">
        <v>4</v>
      </c>
      <c r="L3" s="3" t="s">
        <v>20</v>
      </c>
      <c r="M3" s="4" t="s">
        <v>5</v>
      </c>
    </row>
    <row r="4" spans="1:30" hidden="1" x14ac:dyDescent="0.4">
      <c r="A4" s="5">
        <v>1998</v>
      </c>
      <c r="B4" s="6">
        <v>10806.23</v>
      </c>
      <c r="C4" s="7">
        <v>3822.16</v>
      </c>
      <c r="D4" s="7">
        <v>6984.08</v>
      </c>
      <c r="E4" s="8">
        <v>58853.311696234865</v>
      </c>
      <c r="F4" s="6">
        <v>232.55</v>
      </c>
      <c r="G4" s="7">
        <v>1036.24</v>
      </c>
      <c r="H4" s="7">
        <v>-705.58</v>
      </c>
      <c r="I4" s="8">
        <v>1601.64</v>
      </c>
      <c r="J4" s="6">
        <f>B4+F4</f>
        <v>11038.779999999999</v>
      </c>
      <c r="K4" s="7">
        <f>C4+G4</f>
        <v>4858.3999999999996</v>
      </c>
      <c r="L4" s="7">
        <f>D4+H4</f>
        <v>6278.5</v>
      </c>
      <c r="M4" s="8">
        <f>E4+I4</f>
        <v>60454.951696234864</v>
      </c>
    </row>
    <row r="5" spans="1:30" hidden="1" x14ac:dyDescent="0.4">
      <c r="A5" s="5">
        <v>1999</v>
      </c>
      <c r="B5" s="6">
        <v>18945</v>
      </c>
      <c r="C5" s="7">
        <v>6201.6867989999992</v>
      </c>
      <c r="D5" s="7">
        <f t="shared" ref="D5:D13" si="0">B5-C5</f>
        <v>12743.313201000001</v>
      </c>
      <c r="E5" s="8">
        <v>77837.483328674862</v>
      </c>
      <c r="F5" s="6">
        <v>0</v>
      </c>
      <c r="G5" s="7">
        <v>341.92559625143167</v>
      </c>
      <c r="H5" s="7">
        <f>F5-G5</f>
        <v>-341.92559625143167</v>
      </c>
      <c r="I5" s="8">
        <v>969.01957078000009</v>
      </c>
      <c r="J5" s="6">
        <f t="shared" ref="J5:L6" si="1">B5+F5</f>
        <v>18945</v>
      </c>
      <c r="K5" s="7">
        <f t="shared" si="1"/>
        <v>6543.6123952514308</v>
      </c>
      <c r="L5" s="7">
        <f t="shared" si="1"/>
        <v>12401.387604748568</v>
      </c>
      <c r="M5" s="8">
        <f t="shared" ref="M5:M10" si="2">E5+I5</f>
        <v>78806.502899454863</v>
      </c>
    </row>
    <row r="6" spans="1:30" hidden="1" x14ac:dyDescent="0.4">
      <c r="A6" s="5">
        <v>2000</v>
      </c>
      <c r="B6" s="6">
        <f>SUM(B33:B44)</f>
        <v>17445</v>
      </c>
      <c r="C6" s="7">
        <f>SUM(C33:C44)</f>
        <v>6823.4362590000001</v>
      </c>
      <c r="D6" s="7">
        <f t="shared" si="0"/>
        <v>10621.563741</v>
      </c>
      <c r="E6" s="8">
        <f>E44</f>
        <v>88701.937101047195</v>
      </c>
      <c r="F6" s="6">
        <f>SUM(F33:F44)</f>
        <v>0</v>
      </c>
      <c r="G6" s="7">
        <f>SUM(G33:G44)</f>
        <v>259.00598094999998</v>
      </c>
      <c r="H6" s="7">
        <f>SUM(H33:H44)</f>
        <v>-259.00598094999998</v>
      </c>
      <c r="I6" s="8">
        <f>I44</f>
        <v>710.01358982999989</v>
      </c>
      <c r="J6" s="6">
        <f t="shared" si="1"/>
        <v>17445</v>
      </c>
      <c r="K6" s="7">
        <f t="shared" si="1"/>
        <v>7082.4422399499999</v>
      </c>
      <c r="L6" s="7">
        <f t="shared" si="1"/>
        <v>10362.55776005</v>
      </c>
      <c r="M6" s="8">
        <f t="shared" si="2"/>
        <v>89411.950690877202</v>
      </c>
    </row>
    <row r="7" spans="1:30" hidden="1" x14ac:dyDescent="0.4">
      <c r="A7" s="5">
        <v>2001</v>
      </c>
      <c r="B7" s="6">
        <f>SUM(B46:B57)</f>
        <v>14222.192999999999</v>
      </c>
      <c r="C7" s="7">
        <f>SUM(C46:C57)</f>
        <v>5800.7920180000001</v>
      </c>
      <c r="D7" s="7">
        <f t="shared" si="0"/>
        <v>8421.4009819999992</v>
      </c>
      <c r="E7" s="8">
        <f>E57</f>
        <v>97123.338204047192</v>
      </c>
      <c r="F7" s="6">
        <f>SUM(F46:F57)</f>
        <v>570.81110149999995</v>
      </c>
      <c r="G7" s="7">
        <f>SUM(G46:G57)</f>
        <v>12.354381810000001</v>
      </c>
      <c r="H7" s="7">
        <f>SUM(H46:H57)</f>
        <v>558.45671968999989</v>
      </c>
      <c r="I7" s="8">
        <f>I57</f>
        <v>1268.47030946</v>
      </c>
      <c r="J7" s="6">
        <f t="shared" ref="J7:L8" si="3">B7+F7</f>
        <v>14793.004101499999</v>
      </c>
      <c r="K7" s="7">
        <f t="shared" si="3"/>
        <v>5813.1463998099998</v>
      </c>
      <c r="L7" s="7">
        <f t="shared" si="3"/>
        <v>8979.8577016899999</v>
      </c>
      <c r="M7" s="8">
        <f t="shared" si="2"/>
        <v>98391.808513507189</v>
      </c>
    </row>
    <row r="8" spans="1:30" hidden="1" x14ac:dyDescent="0.4">
      <c r="A8" s="5">
        <v>2002</v>
      </c>
      <c r="B8" s="6">
        <f>SUM(B59:B70)</f>
        <v>13455.691000000003</v>
      </c>
      <c r="C8" s="7">
        <f>SUM(C59:C70)</f>
        <v>8540.9018999999989</v>
      </c>
      <c r="D8" s="7">
        <f t="shared" si="0"/>
        <v>4914.7891000000036</v>
      </c>
      <c r="E8" s="8">
        <f>E70</f>
        <v>102037.3083040472</v>
      </c>
      <c r="F8" s="6">
        <f>SUM(F59:F70)</f>
        <v>406.96787134000004</v>
      </c>
      <c r="G8" s="7">
        <f>SUM(G59:G70)</f>
        <v>630.40282551000007</v>
      </c>
      <c r="H8" s="7">
        <f>SUM(H59:H70)</f>
        <v>-223.43495417000003</v>
      </c>
      <c r="I8" s="8">
        <f>I70</f>
        <v>1045.03535534</v>
      </c>
      <c r="J8" s="6">
        <f t="shared" si="3"/>
        <v>13862.658871340003</v>
      </c>
      <c r="K8" s="7">
        <f t="shared" si="3"/>
        <v>9171.3047255099991</v>
      </c>
      <c r="L8" s="7">
        <f t="shared" si="3"/>
        <v>4691.3541458300033</v>
      </c>
      <c r="M8" s="8">
        <f t="shared" si="2"/>
        <v>103082.3436593872</v>
      </c>
    </row>
    <row r="9" spans="1:30" hidden="1" x14ac:dyDescent="0.4">
      <c r="A9" s="5">
        <v>2003</v>
      </c>
      <c r="B9" s="6">
        <f>SUM(B72:B83)</f>
        <v>15556.116</v>
      </c>
      <c r="C9" s="7">
        <f>SUM(C72:C83)</f>
        <v>11308.629293999998</v>
      </c>
      <c r="D9" s="7">
        <f t="shared" si="0"/>
        <v>4247.4867060000015</v>
      </c>
      <c r="E9" s="8">
        <f>E83</f>
        <v>106284.79501004719</v>
      </c>
      <c r="F9" s="6">
        <f>SUM(F72:F83)</f>
        <v>0</v>
      </c>
      <c r="G9" s="7">
        <f>SUM(G72:G83)</f>
        <v>97.381597783357179</v>
      </c>
      <c r="H9" s="7">
        <f>F9-G9</f>
        <v>-97.381597783357179</v>
      </c>
      <c r="I9" s="8">
        <f>I83</f>
        <v>947.65375755664263</v>
      </c>
      <c r="J9" s="6">
        <f t="shared" ref="J9:L10" si="4">B9+F9</f>
        <v>15556.116</v>
      </c>
      <c r="K9" s="7">
        <f t="shared" si="4"/>
        <v>11406.010891783355</v>
      </c>
      <c r="L9" s="7">
        <f t="shared" si="4"/>
        <v>4150.1051082166441</v>
      </c>
      <c r="M9" s="8">
        <f t="shared" si="2"/>
        <v>107232.44876760384</v>
      </c>
    </row>
    <row r="10" spans="1:30" hidden="1" x14ac:dyDescent="0.4">
      <c r="A10" s="5">
        <v>2004</v>
      </c>
      <c r="B10" s="6">
        <f>SUM(B85:B96)</f>
        <v>14018.31</v>
      </c>
      <c r="C10" s="7">
        <f>SUM(C85:C96)</f>
        <v>11682.955335652376</v>
      </c>
      <c r="D10" s="7">
        <f t="shared" si="0"/>
        <v>2335.3546643476238</v>
      </c>
      <c r="E10" s="8">
        <f>E96</f>
        <v>108625.14216385</v>
      </c>
      <c r="F10" s="6">
        <f>SUM(F85:F96)</f>
        <v>0</v>
      </c>
      <c r="G10" s="7">
        <f>SUM(G85:G96)</f>
        <v>124.99727477335719</v>
      </c>
      <c r="H10" s="7">
        <f>F10-G10</f>
        <v>-124.99727477335719</v>
      </c>
      <c r="I10" s="8">
        <f>I96</f>
        <v>822.65648278328558</v>
      </c>
      <c r="J10" s="6">
        <f t="shared" si="4"/>
        <v>14018.31</v>
      </c>
      <c r="K10" s="7">
        <f t="shared" si="4"/>
        <v>11807.952610425733</v>
      </c>
      <c r="L10" s="7">
        <f t="shared" si="4"/>
        <v>2210.3573895742666</v>
      </c>
      <c r="M10" s="8">
        <f t="shared" si="2"/>
        <v>109447.79864663329</v>
      </c>
    </row>
    <row r="11" spans="1:30" hidden="1" x14ac:dyDescent="0.4">
      <c r="A11" s="5">
        <v>2005</v>
      </c>
      <c r="B11" s="17">
        <f>SUM(B98:B109)</f>
        <v>16325.231</v>
      </c>
      <c r="C11" s="18">
        <f>SUM(C98:C109)</f>
        <v>12963.722404999999</v>
      </c>
      <c r="D11" s="18">
        <f t="shared" si="0"/>
        <v>3361.5085950000012</v>
      </c>
      <c r="E11" s="19">
        <f>E109</f>
        <v>111992.65075885001</v>
      </c>
      <c r="F11" s="17">
        <f>SUM(F98:F109)</f>
        <v>0</v>
      </c>
      <c r="G11" s="18">
        <f>SUM(G98:G109)</f>
        <v>77.759932563285602</v>
      </c>
      <c r="H11" s="18">
        <f>F11-G11</f>
        <v>-77.759932563285602</v>
      </c>
      <c r="I11" s="19">
        <f>I109</f>
        <v>744.89655021999999</v>
      </c>
      <c r="J11" s="17">
        <f>SUM(J98:J109)</f>
        <v>16325.231</v>
      </c>
      <c r="K11" s="18">
        <f>SUM(K98:K109)</f>
        <v>13041.482337563286</v>
      </c>
      <c r="L11" s="18">
        <f>J11-K11</f>
        <v>3283.7486624367139</v>
      </c>
      <c r="M11" s="19">
        <f>M109</f>
        <v>112737.54730907001</v>
      </c>
    </row>
    <row r="12" spans="1:30" hidden="1" x14ac:dyDescent="0.4">
      <c r="A12" s="5">
        <v>2006</v>
      </c>
      <c r="B12" s="17">
        <f>SUM(B111:B122)</f>
        <v>18359</v>
      </c>
      <c r="C12" s="18">
        <f>SUM(C111:C122)</f>
        <v>7893.0341925400007</v>
      </c>
      <c r="D12" s="18">
        <f t="shared" si="0"/>
        <v>10465.965807459999</v>
      </c>
      <c r="E12" s="19">
        <f>E122</f>
        <v>122458.61656631</v>
      </c>
      <c r="F12" s="17">
        <f>SUM(F111:F122)</f>
        <v>0</v>
      </c>
      <c r="G12" s="18">
        <f>SUM(G111:G122)</f>
        <v>145.34566833</v>
      </c>
      <c r="H12" s="18">
        <f>F12-G12</f>
        <v>-145.34566833</v>
      </c>
      <c r="I12" s="19">
        <f>I122</f>
        <v>599.55088189000003</v>
      </c>
      <c r="J12" s="17">
        <f>SUM(J111:J122)</f>
        <v>18359</v>
      </c>
      <c r="K12" s="18">
        <f>SUM(K111:K122)</f>
        <v>8038.3798608700008</v>
      </c>
      <c r="L12" s="18">
        <f>J12-K12</f>
        <v>10320.620139129998</v>
      </c>
      <c r="M12" s="19">
        <f>M122</f>
        <v>123058.16744819999</v>
      </c>
    </row>
    <row r="13" spans="1:30" hidden="1" x14ac:dyDescent="0.4">
      <c r="A13" s="5">
        <v>2007</v>
      </c>
      <c r="B13" s="17">
        <f>SUM(B124:B135)</f>
        <v>19157.350999999999</v>
      </c>
      <c r="C13" s="18">
        <f>SUM(C124:C135)</f>
        <v>12190.808064000001</v>
      </c>
      <c r="D13" s="18">
        <f t="shared" si="0"/>
        <v>6966.542935999998</v>
      </c>
      <c r="E13" s="19">
        <f>E135</f>
        <v>129425.15950230999</v>
      </c>
      <c r="F13" s="17">
        <f>SUM(F124:F135)</f>
        <v>329.35491959000001</v>
      </c>
      <c r="G13" s="18">
        <f>SUM(G124:G135)</f>
        <v>10.901</v>
      </c>
      <c r="H13" s="18">
        <f>F13-G13</f>
        <v>318.45391959</v>
      </c>
      <c r="I13" s="19">
        <f>I135</f>
        <v>918.00487635000002</v>
      </c>
      <c r="J13" s="17">
        <f>SUM(J124:J135)</f>
        <v>19486.70591959</v>
      </c>
      <c r="K13" s="18">
        <f>SUM(K124:K135)</f>
        <v>12201.709064000001</v>
      </c>
      <c r="L13" s="18">
        <f>J13-K13</f>
        <v>7284.9968555899995</v>
      </c>
      <c r="M13" s="19">
        <f>M135</f>
        <v>130343.16437866</v>
      </c>
    </row>
    <row r="14" spans="1:30" hidden="1" x14ac:dyDescent="0.4">
      <c r="A14" s="5">
        <v>2008</v>
      </c>
      <c r="B14" s="17">
        <f>SUM(B137:B148)</f>
        <v>10169.268</v>
      </c>
      <c r="C14" s="18">
        <f>SUM(C137:C148)</f>
        <v>8140.09</v>
      </c>
      <c r="D14" s="18">
        <f>SUM(D137:D148)</f>
        <v>2029.1779999999999</v>
      </c>
      <c r="E14" s="19">
        <f>E148</f>
        <v>131454.33800230999</v>
      </c>
      <c r="F14" s="17">
        <f>SUM(F137:F148)</f>
        <v>143.34566838000001</v>
      </c>
      <c r="G14" s="18">
        <f>SUM(G137:G148)</f>
        <v>463.79966280999997</v>
      </c>
      <c r="H14" s="18">
        <f>SUM(H137:H148)</f>
        <v>-320.45399442999997</v>
      </c>
      <c r="I14" s="19">
        <f>I148</f>
        <v>597.553</v>
      </c>
      <c r="J14" s="17">
        <f>SUM(J137:J148)</f>
        <v>10312.61366838</v>
      </c>
      <c r="K14" s="18">
        <f>SUM(K137:K148)</f>
        <v>8603.889662810001</v>
      </c>
      <c r="L14" s="18">
        <f>SUM(L137:L148)</f>
        <v>1708.7240055699999</v>
      </c>
      <c r="M14" s="19">
        <f>M148</f>
        <v>132051.88888422999</v>
      </c>
    </row>
    <row r="15" spans="1:30" hidden="1" x14ac:dyDescent="0.4">
      <c r="A15" s="5">
        <v>2009</v>
      </c>
      <c r="B15" s="17">
        <f>SUM(B150:B161)</f>
        <v>23709.653000000006</v>
      </c>
      <c r="C15" s="18">
        <f>SUM(C150:C161)</f>
        <v>8725.75</v>
      </c>
      <c r="D15" s="18">
        <f>SUM(D150:D161)</f>
        <v>14983.903</v>
      </c>
      <c r="E15" s="19">
        <f>E161</f>
        <v>146438.24100231001</v>
      </c>
      <c r="F15" s="17">
        <f>SUM(F150:F161)</f>
        <v>0</v>
      </c>
      <c r="G15" s="18">
        <f>SUM(G150:G161)</f>
        <v>157.88066838</v>
      </c>
      <c r="H15" s="18">
        <f>SUM(H150:H161)</f>
        <v>-157.88066838</v>
      </c>
      <c r="I15" s="19">
        <f>I161</f>
        <v>439.67064671000009</v>
      </c>
      <c r="J15" s="17">
        <f>SUM(J150:J161)</f>
        <v>23709.653000000006</v>
      </c>
      <c r="K15" s="18">
        <f>SUM(K150:K161)</f>
        <v>8883.6306683799994</v>
      </c>
      <c r="L15" s="18">
        <f>SUM(L150:L161)</f>
        <v>14826.022331619999</v>
      </c>
      <c r="M15" s="19">
        <f>M161</f>
        <v>146877.91164901998</v>
      </c>
    </row>
    <row r="16" spans="1:30" hidden="1" x14ac:dyDescent="0.4">
      <c r="A16" s="5">
        <v>2010</v>
      </c>
      <c r="B16" s="17">
        <f>SUM(B163:B174)</f>
        <v>21306.815999999999</v>
      </c>
      <c r="C16" s="18">
        <f>SUM(C163:C174)</f>
        <v>8811</v>
      </c>
      <c r="D16" s="18">
        <f>SUM(D163:D174)</f>
        <v>12495.816000000001</v>
      </c>
      <c r="E16" s="19">
        <f>E174</f>
        <v>158934.05700231</v>
      </c>
      <c r="F16" s="17">
        <f>SUM(F163:F174)</f>
        <v>0</v>
      </c>
      <c r="G16" s="18">
        <f>SUM(G163:G174)</f>
        <v>254.35491959000001</v>
      </c>
      <c r="H16" s="18">
        <f>SUM(H163:H174)</f>
        <v>-254.35491959000001</v>
      </c>
      <c r="I16" s="19">
        <f>I174</f>
        <v>185.31572711999999</v>
      </c>
      <c r="J16" s="17">
        <f>SUM(J163:J174)</f>
        <v>21306.815999999999</v>
      </c>
      <c r="K16" s="18">
        <f>SUM(K163:K174)</f>
        <v>9065.3549195899996</v>
      </c>
      <c r="L16" s="18">
        <f>SUM(L163:L174)</f>
        <v>12241.461080410001</v>
      </c>
      <c r="M16" s="19">
        <f>M174</f>
        <v>159119.37272943</v>
      </c>
    </row>
    <row r="17" spans="1:13" hidden="1" x14ac:dyDescent="0.4">
      <c r="A17" s="5">
        <v>2011</v>
      </c>
      <c r="B17" s="17">
        <f>SUM(B176:B187)</f>
        <v>17369.412000000004</v>
      </c>
      <c r="C17" s="18">
        <f>SUM(C176:C187)</f>
        <v>8268.1929999999993</v>
      </c>
      <c r="D17" s="18">
        <f>SUM(D176:D187)</f>
        <v>9101.219000000001</v>
      </c>
      <c r="E17" s="19">
        <f>E187</f>
        <v>168071.27600230998</v>
      </c>
      <c r="F17" s="17">
        <f>SUM(F176:F187)</f>
        <v>0</v>
      </c>
      <c r="G17" s="18">
        <f>SUM(G176:G187)</f>
        <v>145.34566833000002</v>
      </c>
      <c r="H17" s="18">
        <f>SUM(H176:H187)</f>
        <v>-145.34566833000002</v>
      </c>
      <c r="I17" s="19">
        <f>I187</f>
        <v>39.970058789999996</v>
      </c>
      <c r="J17" s="17">
        <f>SUM(J176:J187)</f>
        <v>17369.412000000004</v>
      </c>
      <c r="K17" s="18">
        <f>SUM(K176:K187)</f>
        <v>8413.5386683299985</v>
      </c>
      <c r="L17" s="18">
        <f>SUM(L176:L187)</f>
        <v>8955.8733316700018</v>
      </c>
      <c r="M17" s="19">
        <f>M187</f>
        <v>168111.24606110001</v>
      </c>
    </row>
    <row r="18" spans="1:13" hidden="1" x14ac:dyDescent="0.4">
      <c r="A18" s="5">
        <v>2012</v>
      </c>
      <c r="B18" s="17">
        <v>21251.755999999998</v>
      </c>
      <c r="C18" s="18">
        <v>10177.384</v>
      </c>
      <c r="D18" s="18">
        <v>11074.371999999999</v>
      </c>
      <c r="E18" s="19">
        <v>179145.64800230999</v>
      </c>
      <c r="F18" s="17">
        <v>0</v>
      </c>
      <c r="G18" s="18">
        <v>0</v>
      </c>
      <c r="H18" s="18">
        <v>0</v>
      </c>
      <c r="I18" s="19">
        <v>39.970058789999996</v>
      </c>
      <c r="J18" s="17">
        <v>21251.755999999998</v>
      </c>
      <c r="K18" s="18">
        <v>10177.384</v>
      </c>
      <c r="L18" s="18">
        <v>11074.371999999999</v>
      </c>
      <c r="M18" s="19">
        <v>179185.61806110002</v>
      </c>
    </row>
    <row r="19" spans="1:13" hidden="1" x14ac:dyDescent="0.4">
      <c r="A19" s="5">
        <v>2013</v>
      </c>
      <c r="B19" s="17">
        <f>SUM(B202:B213)</f>
        <v>22493.467000000001</v>
      </c>
      <c r="C19" s="18">
        <f>SUM(C202:C213)</f>
        <v>13126.857</v>
      </c>
      <c r="D19" s="18">
        <f>SUM(D202:D213)</f>
        <v>9366.61</v>
      </c>
      <c r="E19" s="19">
        <f>E213</f>
        <v>188512.25800231</v>
      </c>
      <c r="F19" s="17">
        <f>SUM(F202:F213)</f>
        <v>0</v>
      </c>
      <c r="G19" s="18">
        <f>SUM(G202:G213)</f>
        <v>0</v>
      </c>
      <c r="H19" s="18">
        <f>SUM(H202:H213)</f>
        <v>0</v>
      </c>
      <c r="I19" s="19">
        <f>I213</f>
        <v>39.970058789999996</v>
      </c>
      <c r="J19" s="17">
        <f>SUM(J202:J213)</f>
        <v>22493.467000000001</v>
      </c>
      <c r="K19" s="18">
        <f>SUM(K202:K213)</f>
        <v>13126.857</v>
      </c>
      <c r="L19" s="18">
        <f>SUM(L202:L213)</f>
        <v>9366.61</v>
      </c>
      <c r="M19" s="19">
        <f>M213</f>
        <v>188552.2280611</v>
      </c>
    </row>
    <row r="20" spans="1:13" hidden="1" x14ac:dyDescent="0.4">
      <c r="A20" s="5">
        <v>2014</v>
      </c>
      <c r="B20" s="17">
        <f>SUM(B215:B226)</f>
        <v>20581.307000000001</v>
      </c>
      <c r="C20" s="18">
        <f>SUM(C215:C226)</f>
        <v>22021.470999999998</v>
      </c>
      <c r="D20" s="18">
        <f>SUM(D215:D226)</f>
        <v>-1440.1640000000002</v>
      </c>
      <c r="E20" s="19">
        <f>E226</f>
        <v>187072.09400231001</v>
      </c>
      <c r="F20" s="17">
        <f>SUM(F215:F226)</f>
        <v>0</v>
      </c>
      <c r="G20" s="18">
        <f>SUM(G215:G226)</f>
        <v>0</v>
      </c>
      <c r="H20" s="18">
        <f>SUM(H215:H226)</f>
        <v>0</v>
      </c>
      <c r="I20" s="19">
        <f>I226</f>
        <v>39.970058789999996</v>
      </c>
      <c r="J20" s="17">
        <f>SUM(J215:J226)</f>
        <v>20581.307000000001</v>
      </c>
      <c r="K20" s="18">
        <f>SUM(K215:K226)</f>
        <v>22021.470999999998</v>
      </c>
      <c r="L20" s="18">
        <f>SUM(L215:L226)</f>
        <v>-1440.1640000000002</v>
      </c>
      <c r="M20" s="19">
        <f>M226</f>
        <v>187112.06406110001</v>
      </c>
    </row>
    <row r="21" spans="1:13" hidden="1" x14ac:dyDescent="0.4">
      <c r="A21" s="5">
        <v>2015</v>
      </c>
      <c r="B21" s="17">
        <f>SUM(B228:B239)</f>
        <v>18794.686999999998</v>
      </c>
      <c r="C21" s="18">
        <f>SUM(C228:C239)</f>
        <v>13120.11</v>
      </c>
      <c r="D21" s="18">
        <f>SUM(D228:D239)</f>
        <v>5674.5769999999993</v>
      </c>
      <c r="E21" s="19">
        <f>E239</f>
        <v>192746.67100231</v>
      </c>
      <c r="F21" s="17">
        <f>SUM(F228:F239)</f>
        <v>0</v>
      </c>
      <c r="G21" s="18">
        <f>SUM(G228:G239)</f>
        <v>39.970058789999996</v>
      </c>
      <c r="H21" s="18">
        <f>SUM(H228:H239)</f>
        <v>-39.970058789999996</v>
      </c>
      <c r="I21" s="19">
        <f>I239</f>
        <v>0</v>
      </c>
      <c r="J21" s="17">
        <f>SUM(J228:J239)</f>
        <v>18794.686999999998</v>
      </c>
      <c r="K21" s="18">
        <f>SUM(K228:K239)</f>
        <v>13160.080058790001</v>
      </c>
      <c r="L21" s="18">
        <f>SUM(L228:L239)</f>
        <v>5634.6069412100005</v>
      </c>
      <c r="M21" s="19">
        <f>M239</f>
        <v>192746.67100231</v>
      </c>
    </row>
    <row r="22" spans="1:13" x14ac:dyDescent="0.4">
      <c r="A22" s="5">
        <v>2016</v>
      </c>
      <c r="B22" s="17">
        <f>SUM(B241:B252)</f>
        <v>22939.153999999999</v>
      </c>
      <c r="C22" s="18">
        <f>SUM(C241:C252)</f>
        <v>11565.543</v>
      </c>
      <c r="D22" s="18">
        <f>SUM(D241:D252)</f>
        <v>11373.610999999999</v>
      </c>
      <c r="E22" s="19">
        <f>E252</f>
        <v>204120.25200231001</v>
      </c>
      <c r="F22" s="17">
        <f>SUM(F241:F252)</f>
        <v>0</v>
      </c>
      <c r="G22" s="18">
        <f>SUM(G241:G252)</f>
        <v>0</v>
      </c>
      <c r="H22" s="18">
        <f>SUM(H241:H252)</f>
        <v>0</v>
      </c>
      <c r="I22" s="19">
        <f>I252</f>
        <v>0</v>
      </c>
      <c r="J22" s="17">
        <f>SUM(J241:J252)</f>
        <v>22939.153999999999</v>
      </c>
      <c r="K22" s="18">
        <f>SUM(K241:K252)</f>
        <v>11565.543</v>
      </c>
      <c r="L22" s="18">
        <f>SUM(L241:L252)</f>
        <v>11373.610999999999</v>
      </c>
      <c r="M22" s="19">
        <f>M252</f>
        <v>204120.25200231001</v>
      </c>
    </row>
    <row r="23" spans="1:13" x14ac:dyDescent="0.4">
      <c r="A23" s="5">
        <v>2017</v>
      </c>
      <c r="B23" s="17">
        <f>SUM(B254:B265)</f>
        <v>28365.555000000004</v>
      </c>
      <c r="C23" s="18">
        <f>SUM(C254:C265)</f>
        <v>17855.944000000003</v>
      </c>
      <c r="D23" s="18">
        <f>SUM(D254:D265)</f>
        <v>10509.610999999997</v>
      </c>
      <c r="E23" s="19">
        <f>E265</f>
        <v>214629.86300230998</v>
      </c>
      <c r="F23" s="17">
        <f>SUM(F254:F265)</f>
        <v>0</v>
      </c>
      <c r="G23" s="18">
        <f>SUM(G254:G265)</f>
        <v>0</v>
      </c>
      <c r="H23" s="18">
        <f>SUM(H254:H265)</f>
        <v>0</v>
      </c>
      <c r="I23" s="19">
        <f>I265</f>
        <v>0</v>
      </c>
      <c r="J23" s="17">
        <f>SUM(J254:J265)</f>
        <v>28365.555000000004</v>
      </c>
      <c r="K23" s="18">
        <f>SUM(K254:K265)</f>
        <v>17855.944000000003</v>
      </c>
      <c r="L23" s="18">
        <f>SUM(L254:L265)</f>
        <v>10509.610999999997</v>
      </c>
      <c r="M23" s="19">
        <f>M265</f>
        <v>214629.86300230998</v>
      </c>
    </row>
    <row r="24" spans="1:13" x14ac:dyDescent="0.4">
      <c r="A24" s="5">
        <v>2018</v>
      </c>
      <c r="B24" s="17">
        <f>SUM(B266:B277)</f>
        <v>17881.277000000002</v>
      </c>
      <c r="C24" s="18">
        <f>SUM(C266:C277)</f>
        <v>19326.606</v>
      </c>
      <c r="D24" s="18">
        <f>SUM(D266:D277)</f>
        <v>-1445.3289999999997</v>
      </c>
      <c r="E24" s="19">
        <f>E277</f>
        <v>213184.53400230999</v>
      </c>
      <c r="F24" s="17">
        <f>SUM(F266:F277)</f>
        <v>0</v>
      </c>
      <c r="G24" s="18">
        <f>SUM(G266:G277)</f>
        <v>0</v>
      </c>
      <c r="H24" s="18">
        <f>SUM(H266:H277)</f>
        <v>0</v>
      </c>
      <c r="I24" s="19">
        <f>I277</f>
        <v>0</v>
      </c>
      <c r="J24" s="17">
        <f>SUM(J266:J277)</f>
        <v>17881.277000000002</v>
      </c>
      <c r="K24" s="18">
        <f>SUM(K266:K277)</f>
        <v>19326.606</v>
      </c>
      <c r="L24" s="18">
        <f>SUM(L266:L277)</f>
        <v>-1445.3289999999997</v>
      </c>
      <c r="M24" s="19">
        <f>M277</f>
        <v>213184.53400230999</v>
      </c>
    </row>
    <row r="25" spans="1:13" x14ac:dyDescent="0.4">
      <c r="A25" s="5">
        <v>2019</v>
      </c>
      <c r="B25" s="17">
        <f>SUM(B280:B291)</f>
        <v>20108.806</v>
      </c>
      <c r="C25" s="18">
        <f>SUM(C280:C291)</f>
        <v>25756.147000000001</v>
      </c>
      <c r="D25" s="18">
        <f>SUM(D280:D291)</f>
        <v>-5647.3409999999994</v>
      </c>
      <c r="E25" s="19">
        <f>E291</f>
        <v>207537.19300231</v>
      </c>
      <c r="F25" s="17">
        <f>SUM(F280:F291)</f>
        <v>0</v>
      </c>
      <c r="G25" s="18">
        <f>SUM(G280:G291)</f>
        <v>0</v>
      </c>
      <c r="H25" s="18">
        <f>SUM(H280:H291)</f>
        <v>0</v>
      </c>
      <c r="I25" s="19">
        <f>I291</f>
        <v>0</v>
      </c>
      <c r="J25" s="17">
        <f>SUM(J280:J291)</f>
        <v>20108.806</v>
      </c>
      <c r="K25" s="18">
        <f>SUM(K280:K291)</f>
        <v>25756.147000000001</v>
      </c>
      <c r="L25" s="18">
        <f>SUM(L280:L291)</f>
        <v>-5647.3409999999994</v>
      </c>
      <c r="M25" s="19">
        <f>M291</f>
        <v>207537.19300231</v>
      </c>
    </row>
    <row r="26" spans="1:13" x14ac:dyDescent="0.4">
      <c r="A26" s="5">
        <v>2020</v>
      </c>
      <c r="B26" s="17">
        <f>SUM(B293:B304)</f>
        <v>39971.862000000001</v>
      </c>
      <c r="C26" s="18">
        <f>SUM(C293:C304)</f>
        <v>14767.22</v>
      </c>
      <c r="D26" s="18">
        <f>SUM(D293:D304)</f>
        <v>25204.642000000007</v>
      </c>
      <c r="E26" s="19">
        <f>E304</f>
        <v>232741.83500230999</v>
      </c>
      <c r="F26" s="17">
        <f>SUM(F293:F304)</f>
        <v>0</v>
      </c>
      <c r="G26" s="18">
        <f>SUM(G293:G304)</f>
        <v>0</v>
      </c>
      <c r="H26" s="18">
        <f>SUM(H293:H304)</f>
        <v>0</v>
      </c>
      <c r="I26" s="19">
        <f>I304</f>
        <v>0</v>
      </c>
      <c r="J26" s="17">
        <f>SUM(J293:J304)</f>
        <v>39971.862000000001</v>
      </c>
      <c r="K26" s="18">
        <f>SUM(K293:K304)</f>
        <v>14767.22</v>
      </c>
      <c r="L26" s="18">
        <f>SUM(L293:L304)</f>
        <v>25204.642000000007</v>
      </c>
      <c r="M26" s="19">
        <f>M304</f>
        <v>232741.83500230999</v>
      </c>
    </row>
    <row r="27" spans="1:13" x14ac:dyDescent="0.4">
      <c r="A27" s="5">
        <v>2021</v>
      </c>
      <c r="B27" s="17">
        <f>SUM(B306:B317)</f>
        <v>40063.47</v>
      </c>
      <c r="C27" s="18">
        <f t="shared" ref="C27:L27" si="5">SUM(C306:C317)</f>
        <v>15922.082</v>
      </c>
      <c r="D27" s="18">
        <f>SUM(D306:D317)</f>
        <v>24141.388000000003</v>
      </c>
      <c r="E27" s="19">
        <f>SUM(E317)</f>
        <v>256883.22300231</v>
      </c>
      <c r="F27" s="17">
        <f t="shared" si="5"/>
        <v>0</v>
      </c>
      <c r="G27" s="18">
        <f t="shared" si="5"/>
        <v>0</v>
      </c>
      <c r="H27" s="18">
        <f t="shared" si="5"/>
        <v>0</v>
      </c>
      <c r="I27" s="19">
        <f t="shared" si="5"/>
        <v>0</v>
      </c>
      <c r="J27" s="17">
        <f t="shared" si="5"/>
        <v>40063.47</v>
      </c>
      <c r="K27" s="18">
        <f t="shared" si="5"/>
        <v>15922.082</v>
      </c>
      <c r="L27" s="18">
        <f t="shared" si="5"/>
        <v>24141.388000000003</v>
      </c>
      <c r="M27" s="19">
        <f>SUM(M317)</f>
        <v>256883.22300231</v>
      </c>
    </row>
    <row r="28" spans="1:13" x14ac:dyDescent="0.4">
      <c r="A28" s="5">
        <v>2022</v>
      </c>
      <c r="B28" s="17">
        <f>SUM(B319:B330)</f>
        <v>44439.973999999995</v>
      </c>
      <c r="C28" s="18">
        <f t="shared" ref="C28:L28" si="6">SUM(C319:C330)</f>
        <v>26059.431</v>
      </c>
      <c r="D28" s="18">
        <f t="shared" si="6"/>
        <v>18380.542999999998</v>
      </c>
      <c r="E28" s="19">
        <f>E330</f>
        <v>275263.76600230997</v>
      </c>
      <c r="F28" s="17">
        <f t="shared" si="6"/>
        <v>0</v>
      </c>
      <c r="G28" s="18">
        <f t="shared" si="6"/>
        <v>0</v>
      </c>
      <c r="H28" s="18">
        <f t="shared" si="6"/>
        <v>0</v>
      </c>
      <c r="I28" s="19">
        <f t="shared" si="6"/>
        <v>0</v>
      </c>
      <c r="J28" s="17">
        <f t="shared" si="6"/>
        <v>44439.973999999995</v>
      </c>
      <c r="K28" s="18">
        <f t="shared" si="6"/>
        <v>26059.431</v>
      </c>
      <c r="L28" s="18">
        <f t="shared" si="6"/>
        <v>18380.542999999998</v>
      </c>
      <c r="M28" s="19">
        <f>SUM(M330)</f>
        <v>275263.76600230997</v>
      </c>
    </row>
    <row r="29" spans="1:13" x14ac:dyDescent="0.4">
      <c r="A29" s="5">
        <v>2023</v>
      </c>
      <c r="B29" s="17">
        <f>SUM(B332:B343)</f>
        <v>50300.882000000005</v>
      </c>
      <c r="C29" s="18">
        <f t="shared" ref="C29:L29" si="7">SUM(C332:C343)</f>
        <v>28075.342000000001</v>
      </c>
      <c r="D29" s="18">
        <f t="shared" si="7"/>
        <v>22225.54</v>
      </c>
      <c r="E29" s="19">
        <f>E343</f>
        <v>297489.30200231401</v>
      </c>
      <c r="F29" s="17">
        <f t="shared" si="7"/>
        <v>0</v>
      </c>
      <c r="G29" s="18">
        <f t="shared" si="7"/>
        <v>0</v>
      </c>
      <c r="H29" s="18">
        <f t="shared" si="7"/>
        <v>0</v>
      </c>
      <c r="I29" s="19">
        <f t="shared" si="7"/>
        <v>0</v>
      </c>
      <c r="J29" s="17">
        <f t="shared" si="7"/>
        <v>50300.879000000001</v>
      </c>
      <c r="K29" s="18">
        <f t="shared" si="7"/>
        <v>28075.342000000001</v>
      </c>
      <c r="L29" s="18">
        <f t="shared" si="7"/>
        <v>22225.537</v>
      </c>
      <c r="M29" s="19">
        <f>M343</f>
        <v>297489.30200231401</v>
      </c>
    </row>
    <row r="30" spans="1:13" x14ac:dyDescent="0.4">
      <c r="A30" s="5">
        <v>2024</v>
      </c>
      <c r="B30" s="17">
        <f>SUM(B346:B357)</f>
        <v>48510.3583</v>
      </c>
      <c r="C30" s="18">
        <f>SUM(C346:C357)</f>
        <v>23565.35</v>
      </c>
      <c r="D30" s="18">
        <f>SUM(D346:D357)</f>
        <v>24945.008299999998</v>
      </c>
      <c r="E30" s="19">
        <f>E357</f>
        <v>322434.31030231417</v>
      </c>
      <c r="F30" s="17">
        <f t="shared" ref="F30:L30" si="8">SUM(F346:F357)</f>
        <v>0</v>
      </c>
      <c r="G30" s="18">
        <f t="shared" si="8"/>
        <v>0</v>
      </c>
      <c r="H30" s="18">
        <f t="shared" si="8"/>
        <v>0</v>
      </c>
      <c r="I30" s="19">
        <f t="shared" si="8"/>
        <v>0</v>
      </c>
      <c r="J30" s="17">
        <f t="shared" si="8"/>
        <v>48510.3583</v>
      </c>
      <c r="K30" s="18">
        <f t="shared" si="8"/>
        <v>23565.35</v>
      </c>
      <c r="L30" s="18">
        <f t="shared" si="8"/>
        <v>24945.008299999998</v>
      </c>
      <c r="M30" s="19">
        <f>M357</f>
        <v>322434.31030231417</v>
      </c>
    </row>
    <row r="31" spans="1:13" ht="15.5" thickBot="1" x14ac:dyDescent="0.45">
      <c r="A31" s="5">
        <v>2025</v>
      </c>
      <c r="B31" s="17">
        <f>SUM(B359:B370)</f>
        <v>44985.2287</v>
      </c>
      <c r="C31" s="18">
        <f t="shared" ref="C31" si="9">SUM(C359:C370)</f>
        <v>22381.942999999999</v>
      </c>
      <c r="D31" s="18">
        <f>SUM(D359:D370)</f>
        <v>22603.285700000004</v>
      </c>
      <c r="E31" s="19">
        <f>E370</f>
        <v>345037.59600231418</v>
      </c>
      <c r="F31" s="17">
        <f t="shared" ref="F31:L31" si="10">SUM(F359:F370)</f>
        <v>0</v>
      </c>
      <c r="G31" s="18">
        <f t="shared" si="10"/>
        <v>0</v>
      </c>
      <c r="H31" s="18">
        <f t="shared" si="10"/>
        <v>0</v>
      </c>
      <c r="I31" s="19">
        <f t="shared" si="10"/>
        <v>0</v>
      </c>
      <c r="J31" s="17">
        <f t="shared" si="10"/>
        <v>44985.2287</v>
      </c>
      <c r="K31" s="18">
        <f t="shared" si="10"/>
        <v>22381.942999999999</v>
      </c>
      <c r="L31" s="18">
        <f t="shared" si="10"/>
        <v>22603.285700000004</v>
      </c>
      <c r="M31" s="19">
        <f>M370</f>
        <v>345037.59600231418</v>
      </c>
    </row>
    <row r="32" spans="1:13" ht="18" hidden="1" customHeight="1" thickBot="1" x14ac:dyDescent="0.45">
      <c r="A32" s="9">
        <v>2000</v>
      </c>
      <c r="B32" s="20"/>
      <c r="C32" s="21"/>
      <c r="D32" s="21"/>
      <c r="E32" s="22"/>
      <c r="F32" s="20"/>
      <c r="G32" s="21"/>
      <c r="H32" s="21"/>
      <c r="I32" s="22"/>
      <c r="J32" s="20"/>
      <c r="K32" s="21"/>
      <c r="L32" s="21"/>
      <c r="M32" s="22"/>
    </row>
    <row r="33" spans="1:13" ht="15.5" hidden="1" thickBot="1" x14ac:dyDescent="0.45">
      <c r="A33" s="10" t="s">
        <v>7</v>
      </c>
      <c r="B33" s="23">
        <v>4650</v>
      </c>
      <c r="C33" s="24">
        <v>749.23631999999998</v>
      </c>
      <c r="D33" s="24">
        <f>B33-C33</f>
        <v>3900.76368</v>
      </c>
      <c r="E33" s="25">
        <v>81804.249803224855</v>
      </c>
      <c r="F33" s="23">
        <v>0</v>
      </c>
      <c r="G33" s="24">
        <v>3.1976047000000003</v>
      </c>
      <c r="H33" s="24">
        <f t="shared" ref="H33:H44" si="11">F33-G33</f>
        <v>-3.1976047000000003</v>
      </c>
      <c r="I33" s="25">
        <v>965.82196608000004</v>
      </c>
      <c r="J33" s="23">
        <f t="shared" ref="J33:J44" si="12">B33+F33</f>
        <v>4650</v>
      </c>
      <c r="K33" s="24">
        <v>752.43392452000001</v>
      </c>
      <c r="L33" s="24">
        <f t="shared" ref="L33:L44" si="13">J33-K33</f>
        <v>3897.5660754800001</v>
      </c>
      <c r="M33" s="25">
        <v>82770.07176930485</v>
      </c>
    </row>
    <row r="34" spans="1:13" ht="15.5" hidden="1" thickBot="1" x14ac:dyDescent="0.45">
      <c r="A34" s="10" t="s">
        <v>8</v>
      </c>
      <c r="B34" s="23">
        <v>2310</v>
      </c>
      <c r="C34" s="24">
        <v>1518.8657000000001</v>
      </c>
      <c r="D34" s="24">
        <f>B34-C34</f>
        <v>791.13429999999994</v>
      </c>
      <c r="E34" s="25">
        <v>82595.38410322486</v>
      </c>
      <c r="F34" s="23">
        <v>0</v>
      </c>
      <c r="G34" s="24">
        <v>0</v>
      </c>
      <c r="H34" s="24">
        <f t="shared" si="11"/>
        <v>0</v>
      </c>
      <c r="I34" s="25">
        <v>965.82196608000004</v>
      </c>
      <c r="J34" s="23">
        <f t="shared" si="12"/>
        <v>2310</v>
      </c>
      <c r="K34" s="24">
        <v>1518.8657000000001</v>
      </c>
      <c r="L34" s="24">
        <f t="shared" si="13"/>
        <v>791.13429999999994</v>
      </c>
      <c r="M34" s="25">
        <v>83561.206069304855</v>
      </c>
    </row>
    <row r="35" spans="1:13" ht="15.5" hidden="1" thickBot="1" x14ac:dyDescent="0.45">
      <c r="A35" s="10" t="s">
        <v>9</v>
      </c>
      <c r="B35" s="23">
        <v>1655</v>
      </c>
      <c r="C35" s="24">
        <v>872.07600000000002</v>
      </c>
      <c r="D35" s="24">
        <f t="shared" ref="D35:D52" si="14">B35-C35</f>
        <v>782.92399999999998</v>
      </c>
      <c r="E35" s="25">
        <v>83395.40410322485</v>
      </c>
      <c r="F35" s="23">
        <v>0</v>
      </c>
      <c r="G35" s="24">
        <v>0</v>
      </c>
      <c r="H35" s="24">
        <f t="shared" si="11"/>
        <v>0</v>
      </c>
      <c r="I35" s="25">
        <v>965.82196608000004</v>
      </c>
      <c r="J35" s="23">
        <f t="shared" si="12"/>
        <v>1655</v>
      </c>
      <c r="K35" s="24">
        <v>872.07600000000002</v>
      </c>
      <c r="L35" s="24">
        <f t="shared" si="13"/>
        <v>782.92399999999998</v>
      </c>
      <c r="M35" s="25">
        <v>84361.226069304859</v>
      </c>
    </row>
    <row r="36" spans="1:13" ht="15.5" hidden="1" thickBot="1" x14ac:dyDescent="0.45">
      <c r="A36" s="10" t="s">
        <v>10</v>
      </c>
      <c r="B36" s="23">
        <v>2750</v>
      </c>
      <c r="C36" s="24">
        <v>0</v>
      </c>
      <c r="D36" s="24">
        <f t="shared" si="14"/>
        <v>2750</v>
      </c>
      <c r="E36" s="25">
        <v>86186.310695764856</v>
      </c>
      <c r="F36" s="23">
        <v>0</v>
      </c>
      <c r="G36" s="24">
        <v>36.336417079999997</v>
      </c>
      <c r="H36" s="24">
        <f t="shared" si="11"/>
        <v>-36.336417079999997</v>
      </c>
      <c r="I36" s="25">
        <v>929.48554899999999</v>
      </c>
      <c r="J36" s="23">
        <f t="shared" si="12"/>
        <v>2750</v>
      </c>
      <c r="K36" s="24">
        <v>36.336399999999998</v>
      </c>
      <c r="L36" s="24">
        <f t="shared" si="13"/>
        <v>2713.6635999999999</v>
      </c>
      <c r="M36" s="25">
        <v>87115.796244764861</v>
      </c>
    </row>
    <row r="37" spans="1:13" ht="15.5" hidden="1" thickBot="1" x14ac:dyDescent="0.45">
      <c r="A37" s="10" t="s">
        <v>11</v>
      </c>
      <c r="B37" s="23">
        <v>550</v>
      </c>
      <c r="C37" s="24">
        <v>1238.2000780000001</v>
      </c>
      <c r="D37" s="24">
        <f t="shared" si="14"/>
        <v>-688.20007800000008</v>
      </c>
      <c r="E37" s="25">
        <v>85616.995262047189</v>
      </c>
      <c r="F37" s="23">
        <v>0</v>
      </c>
      <c r="G37" s="24">
        <v>79.940117579999992</v>
      </c>
      <c r="H37" s="24">
        <f t="shared" si="11"/>
        <v>-79.940117579999992</v>
      </c>
      <c r="I37" s="25">
        <v>849.54543142</v>
      </c>
      <c r="J37" s="23">
        <f t="shared" si="12"/>
        <v>550</v>
      </c>
      <c r="K37" s="24">
        <v>1318.140318</v>
      </c>
      <c r="L37" s="24">
        <f t="shared" si="13"/>
        <v>-768.14031799999998</v>
      </c>
      <c r="M37" s="25">
        <v>86466.540693467192</v>
      </c>
    </row>
    <row r="38" spans="1:13" ht="15.5" hidden="1" thickBot="1" x14ac:dyDescent="0.45">
      <c r="A38" s="10" t="s">
        <v>12</v>
      </c>
      <c r="B38" s="23">
        <v>1650</v>
      </c>
      <c r="C38" s="24">
        <v>0</v>
      </c>
      <c r="D38" s="24">
        <f t="shared" si="14"/>
        <v>1650</v>
      </c>
      <c r="E38" s="25">
        <v>87266.995262047189</v>
      </c>
      <c r="F38" s="23">
        <v>0</v>
      </c>
      <c r="G38" s="24">
        <v>21.801850250000001</v>
      </c>
      <c r="H38" s="24">
        <f t="shared" si="11"/>
        <v>-21.801850250000001</v>
      </c>
      <c r="I38" s="25">
        <v>827.74358116999986</v>
      </c>
      <c r="J38" s="23">
        <f t="shared" si="12"/>
        <v>1650</v>
      </c>
      <c r="K38" s="24">
        <v>21.801839999999999</v>
      </c>
      <c r="L38" s="24">
        <f t="shared" si="13"/>
        <v>1628.1981599999999</v>
      </c>
      <c r="M38" s="25">
        <v>88094.738843217187</v>
      </c>
    </row>
    <row r="39" spans="1:13" ht="15.5" hidden="1" thickBot="1" x14ac:dyDescent="0.45">
      <c r="A39" s="10" t="s">
        <v>13</v>
      </c>
      <c r="B39" s="23">
        <v>1650</v>
      </c>
      <c r="C39" s="24">
        <v>959.28060000000005</v>
      </c>
      <c r="D39" s="24">
        <f t="shared" si="14"/>
        <v>690.71939999999995</v>
      </c>
      <c r="E39" s="25">
        <v>87957.71466204719</v>
      </c>
      <c r="F39" s="23">
        <v>0</v>
      </c>
      <c r="G39" s="24">
        <v>50.87098392</v>
      </c>
      <c r="H39" s="24">
        <f t="shared" si="11"/>
        <v>-50.87098392</v>
      </c>
      <c r="I39" s="25">
        <v>776.8725972499999</v>
      </c>
      <c r="J39" s="23">
        <f t="shared" si="12"/>
        <v>1650</v>
      </c>
      <c r="K39" s="24">
        <v>1010.1517</v>
      </c>
      <c r="L39" s="24">
        <f t="shared" si="13"/>
        <v>639.84829999999999</v>
      </c>
      <c r="M39" s="25">
        <v>88734.587259297201</v>
      </c>
    </row>
    <row r="40" spans="1:13" ht="15.5" hidden="1" thickBot="1" x14ac:dyDescent="0.45">
      <c r="A40" s="10" t="s">
        <v>14</v>
      </c>
      <c r="B40" s="26">
        <v>0</v>
      </c>
      <c r="C40" s="27">
        <v>0</v>
      </c>
      <c r="D40" s="24">
        <f t="shared" si="14"/>
        <v>0</v>
      </c>
      <c r="E40" s="25">
        <v>87957.71466204719</v>
      </c>
      <c r="F40" s="23">
        <v>0</v>
      </c>
      <c r="G40" s="24">
        <v>14.534566829999999</v>
      </c>
      <c r="H40" s="24">
        <f t="shared" si="11"/>
        <v>-14.534566829999999</v>
      </c>
      <c r="I40" s="25">
        <v>762.33803041999988</v>
      </c>
      <c r="J40" s="23">
        <f t="shared" si="12"/>
        <v>0</v>
      </c>
      <c r="K40" s="24">
        <v>14.534560000000001</v>
      </c>
      <c r="L40" s="24">
        <f t="shared" si="13"/>
        <v>-14.534560000000001</v>
      </c>
      <c r="M40" s="25">
        <v>88720.052692467187</v>
      </c>
    </row>
    <row r="41" spans="1:13" ht="15.5" hidden="1" thickBot="1" x14ac:dyDescent="0.45">
      <c r="A41" s="10" t="s">
        <v>15</v>
      </c>
      <c r="B41" s="23">
        <v>1130</v>
      </c>
      <c r="C41" s="24">
        <v>0</v>
      </c>
      <c r="D41" s="24">
        <f t="shared" si="14"/>
        <v>1130</v>
      </c>
      <c r="E41" s="25">
        <v>89087.71466204719</v>
      </c>
      <c r="F41" s="23">
        <v>0</v>
      </c>
      <c r="G41" s="24">
        <v>0</v>
      </c>
      <c r="H41" s="24">
        <f t="shared" si="11"/>
        <v>0</v>
      </c>
      <c r="I41" s="25">
        <v>762.33803041999988</v>
      </c>
      <c r="J41" s="23">
        <f t="shared" si="12"/>
        <v>1130</v>
      </c>
      <c r="K41" s="24">
        <v>0</v>
      </c>
      <c r="L41" s="24">
        <f t="shared" si="13"/>
        <v>1130</v>
      </c>
      <c r="M41" s="25">
        <v>89850.052692467187</v>
      </c>
    </row>
    <row r="42" spans="1:13" ht="15.5" hidden="1" thickBot="1" x14ac:dyDescent="0.45">
      <c r="A42" s="10" t="s">
        <v>16</v>
      </c>
      <c r="B42" s="23">
        <v>1100</v>
      </c>
      <c r="C42" s="24">
        <v>0</v>
      </c>
      <c r="D42" s="24">
        <f t="shared" si="14"/>
        <v>1100</v>
      </c>
      <c r="E42" s="25">
        <v>90187.71466204719</v>
      </c>
      <c r="F42" s="23">
        <v>0</v>
      </c>
      <c r="G42" s="24">
        <v>0</v>
      </c>
      <c r="H42" s="24">
        <f t="shared" si="11"/>
        <v>0</v>
      </c>
      <c r="I42" s="25">
        <v>762.33803041999988</v>
      </c>
      <c r="J42" s="23">
        <f t="shared" si="12"/>
        <v>1100</v>
      </c>
      <c r="K42" s="24">
        <v>0</v>
      </c>
      <c r="L42" s="24">
        <f t="shared" si="13"/>
        <v>1100</v>
      </c>
      <c r="M42" s="25">
        <v>90950.052692467187</v>
      </c>
    </row>
    <row r="43" spans="1:13" ht="15.5" hidden="1" thickBot="1" x14ac:dyDescent="0.45">
      <c r="A43" s="10" t="s">
        <v>17</v>
      </c>
      <c r="B43" s="26">
        <v>0</v>
      </c>
      <c r="C43" s="24">
        <v>2.9576690000000001</v>
      </c>
      <c r="D43" s="24">
        <f t="shared" si="14"/>
        <v>-2.9576690000000001</v>
      </c>
      <c r="E43" s="25">
        <v>90184.756993047195</v>
      </c>
      <c r="F43" s="23">
        <v>0</v>
      </c>
      <c r="G43" s="24">
        <v>15.98802351</v>
      </c>
      <c r="H43" s="24">
        <f t="shared" si="11"/>
        <v>-15.98802351</v>
      </c>
      <c r="I43" s="25">
        <v>747.80346358999986</v>
      </c>
      <c r="J43" s="23">
        <f t="shared" si="12"/>
        <v>0</v>
      </c>
      <c r="K43" s="24">
        <v>18.945691679999999</v>
      </c>
      <c r="L43" s="24">
        <f t="shared" si="13"/>
        <v>-18.945691679999999</v>
      </c>
      <c r="M43" s="25">
        <v>90932.560456637191</v>
      </c>
    </row>
    <row r="44" spans="1:13" ht="15.5" hidden="1" thickBot="1" x14ac:dyDescent="0.45">
      <c r="A44" s="10" t="s">
        <v>18</v>
      </c>
      <c r="B44" s="23">
        <v>0</v>
      </c>
      <c r="C44" s="24">
        <v>1482.819892</v>
      </c>
      <c r="D44" s="24">
        <f t="shared" si="14"/>
        <v>-1482.819892</v>
      </c>
      <c r="E44" s="25">
        <v>88701.937101047195</v>
      </c>
      <c r="F44" s="23">
        <v>0</v>
      </c>
      <c r="G44" s="24">
        <v>36.336417079999997</v>
      </c>
      <c r="H44" s="24">
        <f t="shared" si="11"/>
        <v>-36.336417079999997</v>
      </c>
      <c r="I44" s="25">
        <v>710.01358982999989</v>
      </c>
      <c r="J44" s="23">
        <f t="shared" si="12"/>
        <v>0</v>
      </c>
      <c r="K44" s="24">
        <v>1519.1562919999999</v>
      </c>
      <c r="L44" s="24">
        <f t="shared" si="13"/>
        <v>-1519.1562919999999</v>
      </c>
      <c r="M44" s="25">
        <v>89411.950690877202</v>
      </c>
    </row>
    <row r="45" spans="1:13" ht="18" hidden="1" customHeight="1" thickBot="1" x14ac:dyDescent="0.45">
      <c r="A45" s="11">
        <v>2001</v>
      </c>
      <c r="B45" s="28"/>
      <c r="C45" s="29"/>
      <c r="D45" s="29"/>
      <c r="E45" s="30"/>
      <c r="F45" s="28"/>
      <c r="G45" s="29"/>
      <c r="H45" s="29"/>
      <c r="I45" s="30"/>
      <c r="J45" s="28"/>
      <c r="K45" s="29"/>
      <c r="L45" s="29"/>
      <c r="M45" s="30"/>
    </row>
    <row r="46" spans="1:13" ht="15.5" hidden="1" thickBot="1" x14ac:dyDescent="0.45">
      <c r="A46" s="10" t="s">
        <v>7</v>
      </c>
      <c r="B46" s="23">
        <f>1115+3300</f>
        <v>4415</v>
      </c>
      <c r="C46" s="24">
        <v>508.71100000000001</v>
      </c>
      <c r="D46" s="24">
        <f t="shared" si="14"/>
        <v>3906.2889999999998</v>
      </c>
      <c r="E46" s="25">
        <v>92608.226101047199</v>
      </c>
      <c r="F46" s="23">
        <v>0</v>
      </c>
      <c r="G46" s="24">
        <v>0</v>
      </c>
      <c r="H46" s="24">
        <v>0</v>
      </c>
      <c r="I46" s="25">
        <v>710.01358982999989</v>
      </c>
      <c r="J46" s="23">
        <f>B46+F46</f>
        <v>4415</v>
      </c>
      <c r="K46" s="24">
        <v>508.71100000000001</v>
      </c>
      <c r="L46" s="24">
        <f>D46+H46</f>
        <v>3906.2889999999998</v>
      </c>
      <c r="M46" s="25">
        <v>93318.239690877192</v>
      </c>
    </row>
    <row r="47" spans="1:13" ht="15.5" hidden="1" thickBot="1" x14ac:dyDescent="0.45">
      <c r="A47" s="10" t="s">
        <v>8</v>
      </c>
      <c r="B47" s="23">
        <v>1791.479</v>
      </c>
      <c r="C47" s="24">
        <v>631.95784400000002</v>
      </c>
      <c r="D47" s="24">
        <f t="shared" si="14"/>
        <v>1159.521156</v>
      </c>
      <c r="E47" s="25">
        <v>93767.747257047202</v>
      </c>
      <c r="F47" s="23">
        <v>0</v>
      </c>
      <c r="G47" s="24">
        <v>0</v>
      </c>
      <c r="H47" s="24">
        <v>0</v>
      </c>
      <c r="I47" s="25">
        <v>710.01358982999989</v>
      </c>
      <c r="J47" s="23">
        <v>1791.479</v>
      </c>
      <c r="K47" s="24">
        <v>631.95784400000002</v>
      </c>
      <c r="L47" s="24">
        <f>D47+H47</f>
        <v>1159.521156</v>
      </c>
      <c r="M47" s="25">
        <v>94477.760846877194</v>
      </c>
    </row>
    <row r="48" spans="1:13" ht="15.5" hidden="1" thickBot="1" x14ac:dyDescent="0.45">
      <c r="A48" s="10" t="s">
        <v>9</v>
      </c>
      <c r="B48" s="23">
        <v>1650</v>
      </c>
      <c r="C48" s="24">
        <v>741.26459999999997</v>
      </c>
      <c r="D48" s="24">
        <f t="shared" si="14"/>
        <v>908.73540000000003</v>
      </c>
      <c r="E48" s="25">
        <v>94676.482657047192</v>
      </c>
      <c r="F48" s="23">
        <v>0</v>
      </c>
      <c r="G48" s="24">
        <v>0</v>
      </c>
      <c r="H48" s="24">
        <v>0</v>
      </c>
      <c r="I48" s="25">
        <v>710.01358982999989</v>
      </c>
      <c r="J48" s="23">
        <v>1650</v>
      </c>
      <c r="K48" s="24">
        <v>741.26459999999997</v>
      </c>
      <c r="L48" s="24">
        <f>D48+H48</f>
        <v>908.73540000000003</v>
      </c>
      <c r="M48" s="25">
        <v>95386.496246877199</v>
      </c>
    </row>
    <row r="49" spans="1:13" ht="15.5" hidden="1" thickBot="1" x14ac:dyDescent="0.45">
      <c r="A49" s="10" t="s">
        <v>10</v>
      </c>
      <c r="B49" s="23">
        <v>1868.893</v>
      </c>
      <c r="C49" s="24">
        <v>423.17500000000001</v>
      </c>
      <c r="D49" s="24">
        <f t="shared" si="14"/>
        <v>1445.7180000000001</v>
      </c>
      <c r="E49" s="25">
        <v>96122.20077804719</v>
      </c>
      <c r="F49" s="23">
        <v>0</v>
      </c>
      <c r="G49" s="24">
        <v>0</v>
      </c>
      <c r="H49" s="24">
        <v>0</v>
      </c>
      <c r="I49" s="25">
        <v>710.01358982999989</v>
      </c>
      <c r="J49" s="23">
        <v>1868.893</v>
      </c>
      <c r="K49" s="24">
        <v>423.17500000000001</v>
      </c>
      <c r="L49" s="24">
        <v>1445.7180000000001</v>
      </c>
      <c r="M49" s="25">
        <v>96832.214367877197</v>
      </c>
    </row>
    <row r="50" spans="1:13" ht="15.5" hidden="1" thickBot="1" x14ac:dyDescent="0.45">
      <c r="A50" s="10" t="s">
        <v>11</v>
      </c>
      <c r="B50" s="23">
        <v>550</v>
      </c>
      <c r="C50" s="24">
        <v>1267.780485</v>
      </c>
      <c r="D50" s="24">
        <f t="shared" si="14"/>
        <v>-717.780485</v>
      </c>
      <c r="E50" s="25">
        <v>95404.420293047195</v>
      </c>
      <c r="F50" s="23">
        <v>0</v>
      </c>
      <c r="G50" s="24">
        <v>0</v>
      </c>
      <c r="H50" s="24">
        <v>0</v>
      </c>
      <c r="I50" s="25">
        <v>710.01358982999989</v>
      </c>
      <c r="J50" s="23">
        <v>550</v>
      </c>
      <c r="K50" s="24">
        <v>1267.780485</v>
      </c>
      <c r="L50" s="24">
        <f>D50+H50</f>
        <v>-717.780485</v>
      </c>
      <c r="M50" s="25">
        <v>96114.433882877202</v>
      </c>
    </row>
    <row r="51" spans="1:13" ht="15.5" hidden="1" thickBot="1" x14ac:dyDescent="0.45">
      <c r="A51" s="10" t="s">
        <v>12</v>
      </c>
      <c r="B51" s="23">
        <v>1306.8209999999999</v>
      </c>
      <c r="C51" s="24">
        <v>0</v>
      </c>
      <c r="D51" s="24">
        <f t="shared" si="14"/>
        <v>1306.8209999999999</v>
      </c>
      <c r="E51" s="25">
        <v>96711.241293047191</v>
      </c>
      <c r="F51" s="23">
        <v>0</v>
      </c>
      <c r="G51" s="24">
        <v>0</v>
      </c>
      <c r="H51" s="24">
        <v>0</v>
      </c>
      <c r="I51" s="25">
        <v>710.01358982999989</v>
      </c>
      <c r="J51" s="23">
        <v>1306.8209999999999</v>
      </c>
      <c r="K51" s="24">
        <v>0</v>
      </c>
      <c r="L51" s="24">
        <f>D51+H51</f>
        <v>1306.8209999999999</v>
      </c>
      <c r="M51" s="25">
        <v>97421.254882877198</v>
      </c>
    </row>
    <row r="52" spans="1:13" ht="15.5" hidden="1" thickBot="1" x14ac:dyDescent="0.45">
      <c r="A52" s="10" t="s">
        <v>13</v>
      </c>
      <c r="B52" s="23">
        <v>440</v>
      </c>
      <c r="C52" s="24">
        <v>1119.1641999999999</v>
      </c>
      <c r="D52" s="24">
        <f t="shared" si="14"/>
        <v>-679.16419999999994</v>
      </c>
      <c r="E52" s="25">
        <v>96032.077093047192</v>
      </c>
      <c r="F52" s="23">
        <v>0</v>
      </c>
      <c r="G52" s="24">
        <v>0</v>
      </c>
      <c r="H52" s="24">
        <v>0</v>
      </c>
      <c r="I52" s="25">
        <v>710.01358982999989</v>
      </c>
      <c r="J52" s="23">
        <v>440</v>
      </c>
      <c r="K52" s="24">
        <v>1119.1641999999999</v>
      </c>
      <c r="L52" s="24">
        <f>D52+H52</f>
        <v>-679.16419999999994</v>
      </c>
      <c r="M52" s="25">
        <v>96742.090682877199</v>
      </c>
    </row>
    <row r="53" spans="1:13" ht="15.5" hidden="1" thickBot="1" x14ac:dyDescent="0.45">
      <c r="A53" s="10" t="s">
        <v>14</v>
      </c>
      <c r="B53" s="26">
        <v>0</v>
      </c>
      <c r="C53" s="27">
        <v>0</v>
      </c>
      <c r="D53" s="24">
        <f>B53-C53</f>
        <v>0</v>
      </c>
      <c r="E53" s="25">
        <v>96032.077093047192</v>
      </c>
      <c r="F53" s="23">
        <v>0</v>
      </c>
      <c r="G53" s="24">
        <v>0</v>
      </c>
      <c r="H53" s="24">
        <v>0</v>
      </c>
      <c r="I53" s="25">
        <v>710.01358982999989</v>
      </c>
      <c r="J53" s="23">
        <f>B53+F53</f>
        <v>0</v>
      </c>
      <c r="K53" s="24">
        <v>0</v>
      </c>
      <c r="L53" s="24">
        <f>D53+H53</f>
        <v>0</v>
      </c>
      <c r="M53" s="25">
        <v>96742.090682877199</v>
      </c>
    </row>
    <row r="54" spans="1:13" ht="15.5" hidden="1" thickBot="1" x14ac:dyDescent="0.45">
      <c r="A54" s="10" t="s">
        <v>15</v>
      </c>
      <c r="B54" s="23">
        <v>880</v>
      </c>
      <c r="C54" s="24">
        <v>0</v>
      </c>
      <c r="D54" s="24">
        <f>B54-C54</f>
        <v>880</v>
      </c>
      <c r="E54" s="25">
        <v>96912.077093047192</v>
      </c>
      <c r="F54" s="23">
        <v>0</v>
      </c>
      <c r="G54" s="24">
        <v>0</v>
      </c>
      <c r="H54" s="24">
        <v>0</v>
      </c>
      <c r="I54" s="25">
        <v>710.01358982999989</v>
      </c>
      <c r="J54" s="23">
        <v>880</v>
      </c>
      <c r="K54" s="24">
        <v>0</v>
      </c>
      <c r="L54" s="24">
        <v>880</v>
      </c>
      <c r="M54" s="25">
        <v>97622.090682877199</v>
      </c>
    </row>
    <row r="55" spans="1:13" ht="15.5" hidden="1" thickBot="1" x14ac:dyDescent="0.45">
      <c r="A55" s="10" t="s">
        <v>16</v>
      </c>
      <c r="B55" s="23">
        <v>990</v>
      </c>
      <c r="C55" s="24">
        <v>132.33206999999999</v>
      </c>
      <c r="D55" s="24">
        <f>B55-C55</f>
        <v>857.66793000000007</v>
      </c>
      <c r="E55" s="25">
        <v>97769.745023047202</v>
      </c>
      <c r="F55" s="23">
        <v>0</v>
      </c>
      <c r="G55" s="24">
        <v>0</v>
      </c>
      <c r="H55" s="24">
        <v>0</v>
      </c>
      <c r="I55" s="25">
        <v>710.01358982999989</v>
      </c>
      <c r="J55" s="23">
        <v>990</v>
      </c>
      <c r="K55" s="24">
        <f>C55</f>
        <v>132.33206999999999</v>
      </c>
      <c r="L55" s="24">
        <f>D55</f>
        <v>857.66793000000007</v>
      </c>
      <c r="M55" s="25">
        <v>98479.758612877195</v>
      </c>
    </row>
    <row r="56" spans="1:13" ht="15.5" hidden="1" thickBot="1" x14ac:dyDescent="0.45">
      <c r="A56" s="10" t="s">
        <v>17</v>
      </c>
      <c r="B56" s="23">
        <v>330</v>
      </c>
      <c r="C56" s="24">
        <v>838.69716900000003</v>
      </c>
      <c r="D56" s="24">
        <f>B56-C56</f>
        <v>-508.69716900000003</v>
      </c>
      <c r="E56" s="25">
        <v>97261.047854047196</v>
      </c>
      <c r="F56" s="23">
        <v>0</v>
      </c>
      <c r="G56" s="24">
        <v>1.4534566799999999</v>
      </c>
      <c r="H56" s="24">
        <f>F56-G56</f>
        <v>-1.4534566799999999</v>
      </c>
      <c r="I56" s="25">
        <v>710.01358982999989</v>
      </c>
      <c r="J56" s="23">
        <v>330</v>
      </c>
      <c r="K56" s="24">
        <v>840.15062567999996</v>
      </c>
      <c r="L56" s="24">
        <f>J56-K56</f>
        <v>-510.15062567999996</v>
      </c>
      <c r="M56" s="25">
        <v>97971.061443877203</v>
      </c>
    </row>
    <row r="57" spans="1:13" ht="15.5" hidden="1" thickBot="1" x14ac:dyDescent="0.45">
      <c r="A57" s="10" t="s">
        <v>18</v>
      </c>
      <c r="B57" s="23">
        <v>0</v>
      </c>
      <c r="C57" s="24">
        <v>137.70965000000001</v>
      </c>
      <c r="D57" s="24">
        <f>B57-C57</f>
        <v>-137.70965000000001</v>
      </c>
      <c r="E57" s="25">
        <v>97123.338204047192</v>
      </c>
      <c r="F57" s="23">
        <v>570.81110149999995</v>
      </c>
      <c r="G57" s="24">
        <v>10.900925130000001</v>
      </c>
      <c r="H57" s="24">
        <f>F57-G57</f>
        <v>559.91017636999993</v>
      </c>
      <c r="I57" s="25">
        <v>1268.47030946</v>
      </c>
      <c r="J57" s="23">
        <v>570.81110149999995</v>
      </c>
      <c r="K57" s="24">
        <v>148.61057450000001</v>
      </c>
      <c r="L57" s="24">
        <f>J57-K57</f>
        <v>422.20052699999997</v>
      </c>
      <c r="M57" s="25">
        <v>98391.808513507203</v>
      </c>
    </row>
    <row r="58" spans="1:13" ht="18" hidden="1" customHeight="1" thickBot="1" x14ac:dyDescent="0.45">
      <c r="A58" s="11">
        <v>2002</v>
      </c>
      <c r="B58" s="28"/>
      <c r="C58" s="29"/>
      <c r="D58" s="29"/>
      <c r="E58" s="30"/>
      <c r="F58" s="28"/>
      <c r="G58" s="29"/>
      <c r="H58" s="29"/>
      <c r="I58" s="30"/>
      <c r="J58" s="28"/>
      <c r="K58" s="29"/>
      <c r="L58" s="29"/>
      <c r="M58" s="30"/>
    </row>
    <row r="59" spans="1:13" ht="15.5" hidden="1" thickBot="1" x14ac:dyDescent="0.45">
      <c r="A59" s="10" t="s">
        <v>7</v>
      </c>
      <c r="B59" s="23">
        <v>5550</v>
      </c>
      <c r="C59" s="24">
        <v>399.99219199999999</v>
      </c>
      <c r="D59" s="24">
        <f t="shared" ref="D59:D65" si="15">B59-C59</f>
        <v>5150.0078080000003</v>
      </c>
      <c r="E59" s="25">
        <v>102273.3460120472</v>
      </c>
      <c r="F59" s="23">
        <v>0</v>
      </c>
      <c r="G59" s="24">
        <v>570.81110149999995</v>
      </c>
      <c r="H59" s="24">
        <f>F59-G59</f>
        <v>-570.81110149999995</v>
      </c>
      <c r="I59" s="25">
        <v>697.65920801000004</v>
      </c>
      <c r="J59" s="23">
        <v>5550</v>
      </c>
      <c r="K59" s="24">
        <v>970.8032935</v>
      </c>
      <c r="L59" s="24">
        <f t="shared" ref="L59:L64" si="16">J59-K59</f>
        <v>4579.1967064999999</v>
      </c>
      <c r="M59" s="25">
        <v>102971.0052200572</v>
      </c>
    </row>
    <row r="60" spans="1:13" ht="15.5" hidden="1" thickBot="1" x14ac:dyDescent="0.45">
      <c r="A60" s="10" t="s">
        <v>8</v>
      </c>
      <c r="B60" s="23">
        <v>1100</v>
      </c>
      <c r="C60" s="24">
        <v>2030.1929279999999</v>
      </c>
      <c r="D60" s="24">
        <f t="shared" si="15"/>
        <v>-930.19292799999994</v>
      </c>
      <c r="E60" s="25">
        <v>101343.1530840472</v>
      </c>
      <c r="F60" s="23">
        <v>0</v>
      </c>
      <c r="G60" s="24">
        <v>21.801850250000001</v>
      </c>
      <c r="H60" s="24">
        <f>F60-G60</f>
        <v>-21.801850250000001</v>
      </c>
      <c r="I60" s="25">
        <v>675.8573577599999</v>
      </c>
      <c r="J60" s="23">
        <v>1100</v>
      </c>
      <c r="K60" s="24">
        <v>2051.994768</v>
      </c>
      <c r="L60" s="24">
        <f t="shared" si="16"/>
        <v>-951.99476800000002</v>
      </c>
      <c r="M60" s="25">
        <v>102019.01044180719</v>
      </c>
    </row>
    <row r="61" spans="1:13" ht="15.5" hidden="1" thickBot="1" x14ac:dyDescent="0.45">
      <c r="A61" s="10" t="s">
        <v>9</v>
      </c>
      <c r="B61" s="23">
        <v>1100</v>
      </c>
      <c r="C61" s="24">
        <v>561.61694399999999</v>
      </c>
      <c r="D61" s="24">
        <f t="shared" si="15"/>
        <v>538.38305600000001</v>
      </c>
      <c r="E61" s="25">
        <v>101881.53614004719</v>
      </c>
      <c r="F61" s="23">
        <v>0</v>
      </c>
      <c r="G61" s="24">
        <v>0</v>
      </c>
      <c r="H61" s="24">
        <v>0</v>
      </c>
      <c r="I61" s="25">
        <v>675.8573577599999</v>
      </c>
      <c r="J61" s="23">
        <v>1100</v>
      </c>
      <c r="K61" s="24">
        <v>561.61694399999999</v>
      </c>
      <c r="L61" s="24">
        <f t="shared" si="16"/>
        <v>538.38305600000001</v>
      </c>
      <c r="M61" s="25">
        <v>102557.39349780719</v>
      </c>
    </row>
    <row r="62" spans="1:13" ht="15.5" hidden="1" thickBot="1" x14ac:dyDescent="0.45">
      <c r="A62" s="10" t="s">
        <v>10</v>
      </c>
      <c r="B62" s="23">
        <v>1205.3969999999999</v>
      </c>
      <c r="C62" s="24">
        <v>915.78887199999997</v>
      </c>
      <c r="D62" s="24">
        <f t="shared" si="15"/>
        <v>289.60812799999997</v>
      </c>
      <c r="E62" s="25">
        <v>102171.13053508999</v>
      </c>
      <c r="F62" s="23">
        <v>0</v>
      </c>
      <c r="G62" s="24">
        <v>0</v>
      </c>
      <c r="H62" s="24">
        <v>0</v>
      </c>
      <c r="I62" s="25">
        <v>675.8573577599999</v>
      </c>
      <c r="J62" s="23">
        <f>F62+B62</f>
        <v>1205.3969999999999</v>
      </c>
      <c r="K62" s="24">
        <f>C62</f>
        <v>915.78887199999997</v>
      </c>
      <c r="L62" s="24">
        <f t="shared" si="16"/>
        <v>289.60812799999997</v>
      </c>
      <c r="M62" s="25">
        <v>102846.98789285</v>
      </c>
    </row>
    <row r="63" spans="1:13" ht="15.5" hidden="1" thickBot="1" x14ac:dyDescent="0.45">
      <c r="A63" s="10" t="s">
        <v>11</v>
      </c>
      <c r="B63" s="23">
        <v>0</v>
      </c>
      <c r="C63" s="24">
        <v>1620.6010000000001</v>
      </c>
      <c r="D63" s="24">
        <f t="shared" si="15"/>
        <v>-1620.6010000000001</v>
      </c>
      <c r="E63" s="25">
        <v>100550.5432680472</v>
      </c>
      <c r="F63" s="23">
        <v>0</v>
      </c>
      <c r="G63" s="24">
        <v>0</v>
      </c>
      <c r="H63" s="24">
        <v>0</v>
      </c>
      <c r="I63" s="25">
        <v>675.8573577599999</v>
      </c>
      <c r="J63" s="23">
        <f>F63+B63</f>
        <v>0</v>
      </c>
      <c r="K63" s="24">
        <f>C63</f>
        <v>1620.6010000000001</v>
      </c>
      <c r="L63" s="24">
        <f t="shared" si="16"/>
        <v>-1620.6010000000001</v>
      </c>
      <c r="M63" s="25">
        <v>101226.40062580719</v>
      </c>
    </row>
    <row r="64" spans="1:13" ht="15.5" hidden="1" thickBot="1" x14ac:dyDescent="0.45">
      <c r="A64" s="10" t="s">
        <v>12</v>
      </c>
      <c r="B64" s="23">
        <v>1206.7539999999999</v>
      </c>
      <c r="C64" s="24">
        <v>0</v>
      </c>
      <c r="D64" s="24">
        <f t="shared" si="15"/>
        <v>1206.7539999999999</v>
      </c>
      <c r="E64" s="25">
        <v>101757.2972680472</v>
      </c>
      <c r="F64" s="23">
        <v>0</v>
      </c>
      <c r="G64" s="24">
        <v>0</v>
      </c>
      <c r="H64" s="24">
        <v>0</v>
      </c>
      <c r="I64" s="25">
        <v>675.8573577599999</v>
      </c>
      <c r="J64" s="23">
        <f>F64+B64</f>
        <v>1206.7539999999999</v>
      </c>
      <c r="K64" s="24">
        <f>C64</f>
        <v>0</v>
      </c>
      <c r="L64" s="24">
        <f t="shared" si="16"/>
        <v>1206.7539999999999</v>
      </c>
      <c r="M64" s="25">
        <v>102433.15462580719</v>
      </c>
    </row>
    <row r="65" spans="1:13" ht="15.5" hidden="1" thickBot="1" x14ac:dyDescent="0.45">
      <c r="A65" s="10" t="s">
        <v>13</v>
      </c>
      <c r="B65" s="23">
        <v>1201.9100000000001</v>
      </c>
      <c r="C65" s="24">
        <v>0</v>
      </c>
      <c r="D65" s="24">
        <f t="shared" si="15"/>
        <v>1201.9100000000001</v>
      </c>
      <c r="E65" s="25">
        <v>102958.3882680472</v>
      </c>
      <c r="F65" s="23">
        <v>0</v>
      </c>
      <c r="G65" s="24">
        <v>0</v>
      </c>
      <c r="H65" s="24">
        <v>0</v>
      </c>
      <c r="I65" s="25">
        <v>675.8573577599999</v>
      </c>
      <c r="J65" s="23">
        <f>F65+B65</f>
        <v>1201.9100000000001</v>
      </c>
      <c r="K65" s="24">
        <f>C65</f>
        <v>0</v>
      </c>
      <c r="L65" s="24">
        <f>J65-K65</f>
        <v>1201.9100000000001</v>
      </c>
      <c r="M65" s="25">
        <v>103634.24562580719</v>
      </c>
    </row>
    <row r="66" spans="1:13" ht="15.5" hidden="1" thickBot="1" x14ac:dyDescent="0.45">
      <c r="A66" s="10" t="s">
        <v>14</v>
      </c>
      <c r="B66" s="26">
        <v>0</v>
      </c>
      <c r="C66" s="27">
        <v>0</v>
      </c>
      <c r="D66" s="24">
        <v>0</v>
      </c>
      <c r="E66" s="25">
        <v>102958.3882680472</v>
      </c>
      <c r="F66" s="23">
        <v>0</v>
      </c>
      <c r="G66" s="24">
        <v>0</v>
      </c>
      <c r="H66" s="24">
        <v>0</v>
      </c>
      <c r="I66" s="25">
        <v>675.8573577599999</v>
      </c>
      <c r="J66" s="23">
        <v>0</v>
      </c>
      <c r="K66" s="24">
        <v>0</v>
      </c>
      <c r="L66" s="24">
        <v>0</v>
      </c>
      <c r="M66" s="25">
        <v>103634.24562580719</v>
      </c>
    </row>
    <row r="67" spans="1:13" ht="15.5" hidden="1" thickBot="1" x14ac:dyDescent="0.45">
      <c r="A67" s="10" t="s">
        <v>15</v>
      </c>
      <c r="B67" s="23">
        <v>1211.6300000000001</v>
      </c>
      <c r="C67" s="24">
        <v>2306.059636</v>
      </c>
      <c r="D67" s="24">
        <f>B67-C67</f>
        <v>-1094.4296359999998</v>
      </c>
      <c r="E67" s="25">
        <v>101863.9586320472</v>
      </c>
      <c r="F67" s="23">
        <v>0</v>
      </c>
      <c r="G67" s="24">
        <v>0</v>
      </c>
      <c r="H67" s="24">
        <v>0</v>
      </c>
      <c r="I67" s="25">
        <v>675.8573577599999</v>
      </c>
      <c r="J67" s="23">
        <f>F67+B67</f>
        <v>1211.6300000000001</v>
      </c>
      <c r="K67" s="24">
        <f>C67</f>
        <v>2306.059636</v>
      </c>
      <c r="L67" s="24">
        <f>J67-K67</f>
        <v>-1094.4296359999998</v>
      </c>
      <c r="M67" s="25">
        <v>102539.81598980719</v>
      </c>
    </row>
    <row r="68" spans="1:13" ht="15.5" hidden="1" thickBot="1" x14ac:dyDescent="0.45">
      <c r="A68" s="10" t="s">
        <v>16</v>
      </c>
      <c r="B68" s="23">
        <v>0</v>
      </c>
      <c r="C68" s="24">
        <v>703.69265900000005</v>
      </c>
      <c r="D68" s="24">
        <f>B68-C68</f>
        <v>-703.69265900000005</v>
      </c>
      <c r="E68" s="25">
        <v>101160.26597304719</v>
      </c>
      <c r="F68" s="23">
        <v>0</v>
      </c>
      <c r="G68" s="24">
        <v>36.336417079999997</v>
      </c>
      <c r="H68" s="24">
        <f>F68-G68</f>
        <v>-36.336417079999997</v>
      </c>
      <c r="I68" s="25">
        <v>639.52094067999997</v>
      </c>
      <c r="J68" s="23">
        <f>F68+B68</f>
        <v>0</v>
      </c>
      <c r="K68" s="24">
        <f>G68+C68</f>
        <v>740.0290760800001</v>
      </c>
      <c r="L68" s="24">
        <f>J68-K68</f>
        <v>-740.0290760800001</v>
      </c>
      <c r="M68" s="25">
        <v>101799.78691372719</v>
      </c>
    </row>
    <row r="69" spans="1:13" ht="15.5" hidden="1" thickBot="1" x14ac:dyDescent="0.45">
      <c r="A69" s="10" t="s">
        <v>17</v>
      </c>
      <c r="B69" s="23">
        <v>880</v>
      </c>
      <c r="C69" s="24">
        <v>2.9576690000000001</v>
      </c>
      <c r="D69" s="24">
        <f>B69-C69</f>
        <v>877.04233099999999</v>
      </c>
      <c r="E69" s="25">
        <v>102037.3083040472</v>
      </c>
      <c r="F69" s="23">
        <v>0</v>
      </c>
      <c r="G69" s="24">
        <v>1.4534566799999999</v>
      </c>
      <c r="H69" s="24">
        <f>F69-G69</f>
        <v>-1.4534566799999999</v>
      </c>
      <c r="I69" s="25">
        <v>638.06748400000004</v>
      </c>
      <c r="J69" s="23">
        <f>F69+B69</f>
        <v>880</v>
      </c>
      <c r="K69" s="24">
        <f>G69+C69</f>
        <v>4.4111256799999996</v>
      </c>
      <c r="L69" s="24">
        <f>J69-K69</f>
        <v>875.58887431999995</v>
      </c>
      <c r="M69" s="25">
        <v>102675.3757880472</v>
      </c>
    </row>
    <row r="70" spans="1:13" ht="15.5" hidden="1" thickBot="1" x14ac:dyDescent="0.45">
      <c r="A70" s="10" t="s">
        <v>18</v>
      </c>
      <c r="B70" s="23">
        <v>0</v>
      </c>
      <c r="C70" s="24">
        <v>0</v>
      </c>
      <c r="D70" s="24">
        <v>0</v>
      </c>
      <c r="E70" s="25">
        <v>102037.3083040472</v>
      </c>
      <c r="F70" s="23">
        <v>406.96787134000004</v>
      </c>
      <c r="G70" s="24">
        <v>0</v>
      </c>
      <c r="H70" s="24">
        <f>F70-G70</f>
        <v>406.96787134000004</v>
      </c>
      <c r="I70" s="25">
        <v>1045.03535534</v>
      </c>
      <c r="J70" s="23">
        <f>F70+B70</f>
        <v>406.96787134000004</v>
      </c>
      <c r="K70" s="24">
        <f>G70+C70</f>
        <v>0</v>
      </c>
      <c r="L70" s="24">
        <f>J70-K70</f>
        <v>406.96787134000004</v>
      </c>
      <c r="M70" s="25">
        <v>103082.34365938719</v>
      </c>
    </row>
    <row r="71" spans="1:13" ht="18" hidden="1" customHeight="1" thickBot="1" x14ac:dyDescent="0.45">
      <c r="A71" s="11">
        <v>2003</v>
      </c>
      <c r="B71" s="28"/>
      <c r="C71" s="29"/>
      <c r="D71" s="29"/>
      <c r="E71" s="30"/>
      <c r="F71" s="28"/>
      <c r="G71" s="29"/>
      <c r="H71" s="29"/>
      <c r="I71" s="30"/>
      <c r="J71" s="28"/>
      <c r="K71" s="29"/>
      <c r="L71" s="29"/>
      <c r="M71" s="30"/>
    </row>
    <row r="72" spans="1:13" ht="15.5" hidden="1" thickBot="1" x14ac:dyDescent="0.45">
      <c r="A72" s="10" t="s">
        <v>7</v>
      </c>
      <c r="B72" s="23">
        <v>4000</v>
      </c>
      <c r="C72" s="24">
        <v>1227.3016239999999</v>
      </c>
      <c r="D72" s="24">
        <f>B72-C72</f>
        <v>2772.6983760000003</v>
      </c>
      <c r="E72" s="25">
        <v>104810.0066800472</v>
      </c>
      <c r="F72" s="23">
        <v>0</v>
      </c>
      <c r="G72" s="24">
        <v>0</v>
      </c>
      <c r="H72" s="24">
        <f>F72-G72</f>
        <v>0</v>
      </c>
      <c r="I72" s="25">
        <v>1045.03535534</v>
      </c>
      <c r="J72" s="23">
        <f t="shared" ref="J72:K74" si="17">F72+B72</f>
        <v>4000</v>
      </c>
      <c r="K72" s="24">
        <f t="shared" si="17"/>
        <v>1227.3016239999999</v>
      </c>
      <c r="L72" s="24">
        <f t="shared" ref="L72:L77" si="18">J72-K72</f>
        <v>2772.6983760000003</v>
      </c>
      <c r="M72" s="25">
        <v>105855.04203538719</v>
      </c>
    </row>
    <row r="73" spans="1:13" ht="15.5" hidden="1" thickBot="1" x14ac:dyDescent="0.45">
      <c r="A73" s="10" t="s">
        <v>8</v>
      </c>
      <c r="B73" s="23">
        <v>1245.75</v>
      </c>
      <c r="C73" s="24">
        <v>0</v>
      </c>
      <c r="D73" s="24">
        <f>B73-C73</f>
        <v>1245.75</v>
      </c>
      <c r="E73" s="25">
        <v>106055.7566800472</v>
      </c>
      <c r="F73" s="23">
        <v>0</v>
      </c>
      <c r="G73" s="24">
        <v>0</v>
      </c>
      <c r="H73" s="24">
        <f>F73-G73</f>
        <v>0</v>
      </c>
      <c r="I73" s="25">
        <v>1045.03535534</v>
      </c>
      <c r="J73" s="23">
        <f t="shared" si="17"/>
        <v>1245.75</v>
      </c>
      <c r="K73" s="24">
        <f t="shared" si="17"/>
        <v>0</v>
      </c>
      <c r="L73" s="24">
        <f t="shared" si="18"/>
        <v>1245.75</v>
      </c>
      <c r="M73" s="25">
        <v>107100.79203538719</v>
      </c>
    </row>
    <row r="74" spans="1:13" ht="15.5" hidden="1" thickBot="1" x14ac:dyDescent="0.45">
      <c r="A74" s="10" t="s">
        <v>9</v>
      </c>
      <c r="B74" s="23">
        <v>1100</v>
      </c>
      <c r="C74" s="24">
        <v>0</v>
      </c>
      <c r="D74" s="24">
        <v>1100</v>
      </c>
      <c r="E74" s="25">
        <v>107155.7566800472</v>
      </c>
      <c r="F74" s="23">
        <v>0</v>
      </c>
      <c r="G74" s="24">
        <v>0</v>
      </c>
      <c r="H74" s="24">
        <v>0</v>
      </c>
      <c r="I74" s="25">
        <v>1045.03535534</v>
      </c>
      <c r="J74" s="23">
        <f t="shared" si="17"/>
        <v>1100</v>
      </c>
      <c r="K74" s="24">
        <f t="shared" si="17"/>
        <v>0</v>
      </c>
      <c r="L74" s="24">
        <f t="shared" si="18"/>
        <v>1100</v>
      </c>
      <c r="M74" s="25">
        <v>108200.79203538719</v>
      </c>
    </row>
    <row r="75" spans="1:13" ht="15.5" hidden="1" thickBot="1" x14ac:dyDescent="0.45">
      <c r="A75" s="10" t="s">
        <v>10</v>
      </c>
      <c r="B75" s="23">
        <v>1222.68</v>
      </c>
      <c r="C75" s="24">
        <v>741.26459999999997</v>
      </c>
      <c r="D75" s="24">
        <f>B75-C75</f>
        <v>481.41540000000009</v>
      </c>
      <c r="E75" s="25">
        <v>107637.1720800472</v>
      </c>
      <c r="F75" s="23">
        <v>0</v>
      </c>
      <c r="G75" s="24">
        <v>0</v>
      </c>
      <c r="H75" s="24">
        <v>0</v>
      </c>
      <c r="I75" s="25">
        <v>1045.03535534</v>
      </c>
      <c r="J75" s="23">
        <f t="shared" ref="J75:K77" si="19">F75+B75</f>
        <v>1222.68</v>
      </c>
      <c r="K75" s="24">
        <f t="shared" si="19"/>
        <v>741.26459999999997</v>
      </c>
      <c r="L75" s="24">
        <f t="shared" si="18"/>
        <v>481.41540000000009</v>
      </c>
      <c r="M75" s="25">
        <v>108682.20743538719</v>
      </c>
    </row>
    <row r="76" spans="1:13" ht="15.5" hidden="1" thickBot="1" x14ac:dyDescent="0.45">
      <c r="A76" s="10" t="s">
        <v>11</v>
      </c>
      <c r="B76" s="23">
        <v>5000</v>
      </c>
      <c r="C76" s="24">
        <v>595.99127299999998</v>
      </c>
      <c r="D76" s="24">
        <f>B76-C76</f>
        <v>4404.0087270000004</v>
      </c>
      <c r="E76" s="25">
        <v>112041.18080704719</v>
      </c>
      <c r="F76" s="23">
        <v>0</v>
      </c>
      <c r="G76" s="24">
        <v>0</v>
      </c>
      <c r="H76" s="24">
        <v>0</v>
      </c>
      <c r="I76" s="25">
        <v>1045.03535534</v>
      </c>
      <c r="J76" s="23">
        <f t="shared" si="19"/>
        <v>5000</v>
      </c>
      <c r="K76" s="24">
        <f t="shared" si="19"/>
        <v>595.99127299999998</v>
      </c>
      <c r="L76" s="24">
        <f t="shared" si="18"/>
        <v>4404.0087270000004</v>
      </c>
      <c r="M76" s="25">
        <v>113086.21616238719</v>
      </c>
    </row>
    <row r="77" spans="1:13" ht="15.5" hidden="1" thickBot="1" x14ac:dyDescent="0.45">
      <c r="A77" s="10" t="s">
        <v>12</v>
      </c>
      <c r="B77" s="23">
        <v>0</v>
      </c>
      <c r="C77" s="24">
        <v>0</v>
      </c>
      <c r="D77" s="24">
        <f>B77-C77</f>
        <v>0</v>
      </c>
      <c r="E77" s="25">
        <v>112041.18080704719</v>
      </c>
      <c r="F77" s="23">
        <v>0</v>
      </c>
      <c r="G77" s="24">
        <v>0</v>
      </c>
      <c r="H77" s="24">
        <v>0</v>
      </c>
      <c r="I77" s="25">
        <v>1045.03535534</v>
      </c>
      <c r="J77" s="23">
        <f t="shared" si="19"/>
        <v>0</v>
      </c>
      <c r="K77" s="24">
        <f t="shared" si="19"/>
        <v>0</v>
      </c>
      <c r="L77" s="24">
        <f t="shared" si="18"/>
        <v>0</v>
      </c>
      <c r="M77" s="25">
        <v>113086.21616238719</v>
      </c>
    </row>
    <row r="78" spans="1:13" ht="15.5" hidden="1" thickBot="1" x14ac:dyDescent="0.45">
      <c r="A78" s="10" t="s">
        <v>13</v>
      </c>
      <c r="B78" s="23">
        <v>1227.6859999999999</v>
      </c>
      <c r="C78" s="24">
        <v>7454.8020280000001</v>
      </c>
      <c r="D78" s="24">
        <f>B78-C78</f>
        <v>-6227.1160280000004</v>
      </c>
      <c r="E78" s="25">
        <v>105814.0647790472</v>
      </c>
      <c r="F78" s="23">
        <v>0</v>
      </c>
      <c r="G78" s="24">
        <v>0</v>
      </c>
      <c r="H78" s="24">
        <v>0</v>
      </c>
      <c r="I78" s="25">
        <v>1045.03535534</v>
      </c>
      <c r="J78" s="23">
        <f t="shared" ref="J78:K83" si="20">F78+B78</f>
        <v>1227.6859999999999</v>
      </c>
      <c r="K78" s="24">
        <f t="shared" si="20"/>
        <v>7454.8020280000001</v>
      </c>
      <c r="L78" s="24">
        <f t="shared" ref="L78:L83" si="21">J78-K78</f>
        <v>-6227.1160280000004</v>
      </c>
      <c r="M78" s="25">
        <v>106859.10013438719</v>
      </c>
    </row>
    <row r="79" spans="1:13" ht="15.5" hidden="1" thickBot="1" x14ac:dyDescent="0.45">
      <c r="A79" s="10" t="s">
        <v>14</v>
      </c>
      <c r="B79" s="26">
        <v>0</v>
      </c>
      <c r="C79" s="27">
        <v>0</v>
      </c>
      <c r="D79" s="24">
        <v>0</v>
      </c>
      <c r="E79" s="25">
        <v>105814.0647790472</v>
      </c>
      <c r="F79" s="23">
        <v>0</v>
      </c>
      <c r="G79" s="24">
        <v>0</v>
      </c>
      <c r="H79" s="24">
        <v>0</v>
      </c>
      <c r="I79" s="25">
        <v>1045.03535534</v>
      </c>
      <c r="J79" s="23">
        <f t="shared" si="20"/>
        <v>0</v>
      </c>
      <c r="K79" s="24">
        <f t="shared" si="20"/>
        <v>0</v>
      </c>
      <c r="L79" s="24">
        <f t="shared" si="21"/>
        <v>0</v>
      </c>
      <c r="M79" s="25">
        <v>106859.10013438719</v>
      </c>
    </row>
    <row r="80" spans="1:13" ht="15.5" hidden="1" thickBot="1" x14ac:dyDescent="0.45">
      <c r="A80" s="10" t="s">
        <v>15</v>
      </c>
      <c r="B80" s="23">
        <v>550</v>
      </c>
      <c r="C80" s="27">
        <v>1286.3121000000001</v>
      </c>
      <c r="D80" s="24">
        <f>B80-C80</f>
        <v>-736.3121000000001</v>
      </c>
      <c r="E80" s="25">
        <v>105077.75267904719</v>
      </c>
      <c r="F80" s="23">
        <v>0</v>
      </c>
      <c r="G80" s="24">
        <v>0</v>
      </c>
      <c r="H80" s="24">
        <v>0</v>
      </c>
      <c r="I80" s="25">
        <v>1045.03535534</v>
      </c>
      <c r="J80" s="23">
        <f t="shared" si="20"/>
        <v>550</v>
      </c>
      <c r="K80" s="24">
        <f t="shared" si="20"/>
        <v>1286.3121000000001</v>
      </c>
      <c r="L80" s="24">
        <f t="shared" si="21"/>
        <v>-736.3121000000001</v>
      </c>
      <c r="M80" s="25">
        <v>106122.78803438719</v>
      </c>
    </row>
    <row r="81" spans="1:13" ht="15.5" hidden="1" thickBot="1" x14ac:dyDescent="0.45">
      <c r="A81" s="10" t="s">
        <v>16</v>
      </c>
      <c r="B81" s="23">
        <v>550</v>
      </c>
      <c r="C81" s="24">
        <v>0</v>
      </c>
      <c r="D81" s="24">
        <f>B81-C81</f>
        <v>550</v>
      </c>
      <c r="E81" s="25">
        <v>105627.75267904719</v>
      </c>
      <c r="F81" s="23">
        <v>0</v>
      </c>
      <c r="G81" s="24">
        <v>95.928141099999991</v>
      </c>
      <c r="H81" s="24">
        <f>F81-G81</f>
        <v>-95.928141099999991</v>
      </c>
      <c r="I81" s="25">
        <v>949.10721423999985</v>
      </c>
      <c r="J81" s="23">
        <f t="shared" si="20"/>
        <v>550</v>
      </c>
      <c r="K81" s="24">
        <f t="shared" si="20"/>
        <v>95.928141099999991</v>
      </c>
      <c r="L81" s="24">
        <f t="shared" si="21"/>
        <v>454.0718589</v>
      </c>
      <c r="M81" s="25">
        <v>106576.8598932872</v>
      </c>
    </row>
    <row r="82" spans="1:13" ht="15.5" hidden="1" thickBot="1" x14ac:dyDescent="0.45">
      <c r="A82" s="10" t="s">
        <v>17</v>
      </c>
      <c r="B82" s="23">
        <v>0</v>
      </c>
      <c r="C82" s="24">
        <v>2.9576690000000001</v>
      </c>
      <c r="D82" s="24">
        <f>B82-C82</f>
        <v>-2.9576690000000001</v>
      </c>
      <c r="E82" s="25">
        <v>105624.79501004719</v>
      </c>
      <c r="F82" s="23">
        <v>0</v>
      </c>
      <c r="G82" s="24">
        <v>1.453456683357194</v>
      </c>
      <c r="H82" s="24">
        <f>F82-G82</f>
        <v>-1.453456683357194</v>
      </c>
      <c r="I82" s="25">
        <v>947.65375755664263</v>
      </c>
      <c r="J82" s="23">
        <f t="shared" si="20"/>
        <v>0</v>
      </c>
      <c r="K82" s="24">
        <f>G82+C82</f>
        <v>4.4111256833571941</v>
      </c>
      <c r="L82" s="24">
        <f t="shared" si="21"/>
        <v>-4.4111256833571941</v>
      </c>
      <c r="M82" s="25">
        <v>106572.44876760384</v>
      </c>
    </row>
    <row r="83" spans="1:13" ht="15.5" hidden="1" thickBot="1" x14ac:dyDescent="0.45">
      <c r="A83" s="10" t="s">
        <v>18</v>
      </c>
      <c r="B83" s="23">
        <v>660</v>
      </c>
      <c r="C83" s="24">
        <v>0</v>
      </c>
      <c r="D83" s="24">
        <f>B83-C83</f>
        <v>660</v>
      </c>
      <c r="E83" s="25">
        <v>106284.79501004719</v>
      </c>
      <c r="F83" s="23">
        <v>0</v>
      </c>
      <c r="G83" s="24">
        <v>0</v>
      </c>
      <c r="H83" s="24">
        <f>F83-G83</f>
        <v>0</v>
      </c>
      <c r="I83" s="25">
        <v>947.65375755664263</v>
      </c>
      <c r="J83" s="23">
        <f t="shared" si="20"/>
        <v>660</v>
      </c>
      <c r="K83" s="24">
        <f>G83+C83</f>
        <v>0</v>
      </c>
      <c r="L83" s="24">
        <f t="shared" si="21"/>
        <v>660</v>
      </c>
      <c r="M83" s="25">
        <v>107232.44876760384</v>
      </c>
    </row>
    <row r="84" spans="1:13" ht="18" hidden="1" customHeight="1" thickBot="1" x14ac:dyDescent="0.45">
      <c r="A84" s="11">
        <v>2004</v>
      </c>
      <c r="B84" s="28"/>
      <c r="C84" s="29"/>
      <c r="D84" s="29"/>
      <c r="E84" s="30"/>
      <c r="F84" s="28"/>
      <c r="G84" s="29"/>
      <c r="H84" s="29"/>
      <c r="I84" s="30"/>
      <c r="J84" s="28"/>
      <c r="K84" s="29"/>
      <c r="L84" s="29"/>
      <c r="M84" s="30"/>
    </row>
    <row r="85" spans="1:13" ht="15.5" hidden="1" thickBot="1" x14ac:dyDescent="0.45">
      <c r="A85" s="10" t="s">
        <v>7</v>
      </c>
      <c r="B85" s="23">
        <v>3000</v>
      </c>
      <c r="C85" s="24">
        <v>1485.3638059899999</v>
      </c>
      <c r="D85" s="24">
        <f t="shared" ref="D85:D96" si="22">B85-C85</f>
        <v>1514.6361940100001</v>
      </c>
      <c r="E85" s="25">
        <v>107799.43120405721</v>
      </c>
      <c r="F85" s="23">
        <v>0</v>
      </c>
      <c r="G85" s="24">
        <v>50.87098392</v>
      </c>
      <c r="H85" s="24">
        <f>F85-G85</f>
        <v>-50.87098392</v>
      </c>
      <c r="I85" s="25">
        <v>896.78277363664267</v>
      </c>
      <c r="J85" s="23">
        <f t="shared" ref="J85:K90" si="23">F85+B85</f>
        <v>3000</v>
      </c>
      <c r="K85" s="24">
        <f t="shared" si="23"/>
        <v>1536.23478991</v>
      </c>
      <c r="L85" s="24">
        <f t="shared" ref="L85:L90" si="24">J85-K85</f>
        <v>1463.76521009</v>
      </c>
      <c r="M85" s="25">
        <v>108696.21397769384</v>
      </c>
    </row>
    <row r="86" spans="1:13" ht="15.5" hidden="1" thickBot="1" x14ac:dyDescent="0.45">
      <c r="A86" s="10" t="s">
        <v>8</v>
      </c>
      <c r="B86" s="23">
        <v>1100</v>
      </c>
      <c r="C86" s="24">
        <v>741.26459999999997</v>
      </c>
      <c r="D86" s="24">
        <f t="shared" si="22"/>
        <v>358.73540000000003</v>
      </c>
      <c r="E86" s="25">
        <v>108158.1666040572</v>
      </c>
      <c r="F86" s="23">
        <v>0</v>
      </c>
      <c r="G86" s="24">
        <v>0</v>
      </c>
      <c r="H86" s="24">
        <v>0</v>
      </c>
      <c r="I86" s="25">
        <v>896.78277363664267</v>
      </c>
      <c r="J86" s="23">
        <f t="shared" si="23"/>
        <v>1100</v>
      </c>
      <c r="K86" s="24">
        <f t="shared" si="23"/>
        <v>741.26459999999997</v>
      </c>
      <c r="L86" s="24">
        <f t="shared" si="24"/>
        <v>358.73540000000003</v>
      </c>
      <c r="M86" s="25">
        <v>109054.94937769385</v>
      </c>
    </row>
    <row r="87" spans="1:13" ht="15.5" hidden="1" thickBot="1" x14ac:dyDescent="0.45">
      <c r="A87" s="10" t="s">
        <v>9</v>
      </c>
      <c r="B87" s="23">
        <v>1320</v>
      </c>
      <c r="C87" s="24">
        <v>0</v>
      </c>
      <c r="D87" s="24">
        <f t="shared" si="22"/>
        <v>1320</v>
      </c>
      <c r="E87" s="25">
        <v>109478.1666040572</v>
      </c>
      <c r="F87" s="23">
        <v>0</v>
      </c>
      <c r="G87" s="24">
        <v>0</v>
      </c>
      <c r="H87" s="24">
        <v>0</v>
      </c>
      <c r="I87" s="25">
        <v>896.78277363664267</v>
      </c>
      <c r="J87" s="23">
        <f t="shared" si="23"/>
        <v>1320</v>
      </c>
      <c r="K87" s="24">
        <f t="shared" si="23"/>
        <v>0</v>
      </c>
      <c r="L87" s="24">
        <f t="shared" si="24"/>
        <v>1320</v>
      </c>
      <c r="M87" s="25">
        <v>110374.94937769385</v>
      </c>
    </row>
    <row r="88" spans="1:13" ht="15.5" hidden="1" thickBot="1" x14ac:dyDescent="0.45">
      <c r="A88" s="10" t="s">
        <v>10</v>
      </c>
      <c r="B88" s="23">
        <v>1793.693</v>
      </c>
      <c r="C88" s="24">
        <v>0</v>
      </c>
      <c r="D88" s="24">
        <f t="shared" si="22"/>
        <v>1793.693</v>
      </c>
      <c r="E88" s="25">
        <v>111276.8596040572</v>
      </c>
      <c r="F88" s="23">
        <v>0</v>
      </c>
      <c r="G88" s="24">
        <v>0</v>
      </c>
      <c r="H88" s="24">
        <f>F88-G88</f>
        <v>0</v>
      </c>
      <c r="I88" s="25">
        <v>896.78277363664267</v>
      </c>
      <c r="J88" s="23">
        <f t="shared" si="23"/>
        <v>1793.693</v>
      </c>
      <c r="K88" s="24">
        <f t="shared" ref="K88:K93" si="25">G88+C88</f>
        <v>0</v>
      </c>
      <c r="L88" s="24">
        <f t="shared" si="24"/>
        <v>1793.693</v>
      </c>
      <c r="M88" s="25">
        <v>112173.64237769385</v>
      </c>
    </row>
    <row r="89" spans="1:13" ht="15.5" hidden="1" thickBot="1" x14ac:dyDescent="0.45">
      <c r="A89" s="10" t="s">
        <v>11</v>
      </c>
      <c r="B89" s="23">
        <v>1435.6790000000001</v>
      </c>
      <c r="C89" s="24">
        <v>192.57550000000001</v>
      </c>
      <c r="D89" s="24">
        <f t="shared" si="22"/>
        <v>1243.1035000000002</v>
      </c>
      <c r="E89" s="25">
        <v>112519.95559351239</v>
      </c>
      <c r="F89" s="23">
        <v>0</v>
      </c>
      <c r="G89" s="24">
        <v>72.672834170000002</v>
      </c>
      <c r="H89" s="24">
        <f>F89-G89</f>
        <v>-72.672834170000002</v>
      </c>
      <c r="I89" s="25">
        <v>824.1099394666428</v>
      </c>
      <c r="J89" s="23">
        <f t="shared" si="23"/>
        <v>1435.6790000000001</v>
      </c>
      <c r="K89" s="24">
        <f t="shared" si="25"/>
        <v>265.24833417000002</v>
      </c>
      <c r="L89" s="24">
        <f t="shared" si="24"/>
        <v>1170.4306658300002</v>
      </c>
      <c r="M89" s="25">
        <v>113344.06553297903</v>
      </c>
    </row>
    <row r="90" spans="1:13" ht="15.5" hidden="1" thickBot="1" x14ac:dyDescent="0.45">
      <c r="A90" s="10" t="s">
        <v>12</v>
      </c>
      <c r="B90" s="23">
        <v>1170.856</v>
      </c>
      <c r="C90" s="24">
        <v>0</v>
      </c>
      <c r="D90" s="24">
        <f t="shared" si="22"/>
        <v>1170.856</v>
      </c>
      <c r="E90" s="25">
        <v>113690.81159351239</v>
      </c>
      <c r="F90" s="23">
        <v>0</v>
      </c>
      <c r="G90" s="24">
        <v>0</v>
      </c>
      <c r="H90" s="24">
        <v>0</v>
      </c>
      <c r="I90" s="25">
        <v>824.1099394666428</v>
      </c>
      <c r="J90" s="23">
        <f t="shared" si="23"/>
        <v>1170.856</v>
      </c>
      <c r="K90" s="24">
        <f t="shared" si="25"/>
        <v>0</v>
      </c>
      <c r="L90" s="24">
        <f t="shared" si="24"/>
        <v>1170.856</v>
      </c>
      <c r="M90" s="25">
        <v>114514.92153297903</v>
      </c>
    </row>
    <row r="91" spans="1:13" ht="15.5" hidden="1" thickBot="1" x14ac:dyDescent="0.45">
      <c r="A91" s="10" t="s">
        <v>13</v>
      </c>
      <c r="B91" s="23">
        <v>1100</v>
      </c>
      <c r="C91" s="24">
        <v>886.02888566237652</v>
      </c>
      <c r="D91" s="24">
        <f t="shared" si="22"/>
        <v>213.97111433762348</v>
      </c>
      <c r="E91" s="25">
        <v>113904.78270785001</v>
      </c>
      <c r="F91" s="23">
        <v>0</v>
      </c>
      <c r="G91" s="24">
        <v>0</v>
      </c>
      <c r="H91" s="24">
        <v>0</v>
      </c>
      <c r="I91" s="25">
        <v>824.1099394666428</v>
      </c>
      <c r="J91" s="23">
        <f t="shared" ref="J91:J96" si="26">F91+B91</f>
        <v>1100</v>
      </c>
      <c r="K91" s="24">
        <f t="shared" si="25"/>
        <v>886.02888566237652</v>
      </c>
      <c r="L91" s="24">
        <f t="shared" ref="L91:L96" si="27">J91-K91</f>
        <v>213.97111433762348</v>
      </c>
      <c r="M91" s="25">
        <v>114728.89264731665</v>
      </c>
    </row>
    <row r="92" spans="1:13" ht="15.5" hidden="1" thickBot="1" x14ac:dyDescent="0.45">
      <c r="A92" s="10" t="s">
        <v>14</v>
      </c>
      <c r="B92" s="26">
        <v>0</v>
      </c>
      <c r="C92" s="27">
        <v>0</v>
      </c>
      <c r="D92" s="24">
        <f t="shared" si="22"/>
        <v>0</v>
      </c>
      <c r="E92" s="25">
        <v>113904.78270785001</v>
      </c>
      <c r="F92" s="23">
        <v>0</v>
      </c>
      <c r="G92" s="24">
        <v>0</v>
      </c>
      <c r="H92" s="24">
        <v>0</v>
      </c>
      <c r="I92" s="25">
        <v>824.1099394666428</v>
      </c>
      <c r="J92" s="23">
        <f t="shared" si="26"/>
        <v>0</v>
      </c>
      <c r="K92" s="24">
        <f t="shared" si="25"/>
        <v>0</v>
      </c>
      <c r="L92" s="24">
        <f t="shared" si="27"/>
        <v>0</v>
      </c>
      <c r="M92" s="25">
        <v>114728.89264731665</v>
      </c>
    </row>
    <row r="93" spans="1:13" ht="15.5" hidden="1" thickBot="1" x14ac:dyDescent="0.45">
      <c r="A93" s="10" t="s">
        <v>15</v>
      </c>
      <c r="B93" s="23">
        <v>1320</v>
      </c>
      <c r="C93" s="27">
        <v>165.25157999999999</v>
      </c>
      <c r="D93" s="24">
        <f t="shared" si="22"/>
        <v>1154.7484199999999</v>
      </c>
      <c r="E93" s="25">
        <v>115059.53112785</v>
      </c>
      <c r="F93" s="23">
        <v>0</v>
      </c>
      <c r="G93" s="24">
        <v>0</v>
      </c>
      <c r="H93" s="24">
        <v>0</v>
      </c>
      <c r="I93" s="25">
        <v>824.1099394666428</v>
      </c>
      <c r="J93" s="23">
        <f t="shared" si="26"/>
        <v>1320</v>
      </c>
      <c r="K93" s="24">
        <f t="shared" si="25"/>
        <v>165.25157999999999</v>
      </c>
      <c r="L93" s="24">
        <f t="shared" si="27"/>
        <v>1154.7484199999999</v>
      </c>
      <c r="M93" s="25">
        <v>115883.64106731665</v>
      </c>
    </row>
    <row r="94" spans="1:13" ht="15.5" hidden="1" thickBot="1" x14ac:dyDescent="0.45">
      <c r="A94" s="10" t="s">
        <v>16</v>
      </c>
      <c r="B94" s="23">
        <v>851.66099999999994</v>
      </c>
      <c r="C94" s="24">
        <v>8212.4709640000001</v>
      </c>
      <c r="D94" s="24">
        <f t="shared" si="22"/>
        <v>-7360.809964</v>
      </c>
      <c r="E94" s="25">
        <v>107698.72116385</v>
      </c>
      <c r="F94" s="23">
        <v>0</v>
      </c>
      <c r="G94" s="24">
        <v>0</v>
      </c>
      <c r="H94" s="24">
        <v>0</v>
      </c>
      <c r="I94" s="25">
        <v>824.1099394666428</v>
      </c>
      <c r="J94" s="23">
        <f t="shared" si="26"/>
        <v>851.66099999999994</v>
      </c>
      <c r="K94" s="24">
        <f>G94+C94</f>
        <v>8212.4709640000001</v>
      </c>
      <c r="L94" s="24">
        <f t="shared" si="27"/>
        <v>-7360.809964</v>
      </c>
      <c r="M94" s="25">
        <v>108522.83110331665</v>
      </c>
    </row>
    <row r="95" spans="1:13" ht="15.5" hidden="1" thickBot="1" x14ac:dyDescent="0.45">
      <c r="A95" s="10" t="s">
        <v>17</v>
      </c>
      <c r="B95" s="23">
        <v>0</v>
      </c>
      <c r="C95" s="24">
        <v>0</v>
      </c>
      <c r="D95" s="24">
        <f t="shared" si="22"/>
        <v>0</v>
      </c>
      <c r="E95" s="25">
        <v>107698.72116385</v>
      </c>
      <c r="F95" s="23">
        <v>0</v>
      </c>
      <c r="G95" s="24">
        <v>1.453456683357194</v>
      </c>
      <c r="H95" s="24">
        <f>F95-G95</f>
        <v>-1.453456683357194</v>
      </c>
      <c r="I95" s="25">
        <v>822.65648278328558</v>
      </c>
      <c r="J95" s="23">
        <f t="shared" si="26"/>
        <v>0</v>
      </c>
      <c r="K95" s="24">
        <f>G95+C95</f>
        <v>1.453456683357194</v>
      </c>
      <c r="L95" s="24">
        <f t="shared" si="27"/>
        <v>-1.453456683357194</v>
      </c>
      <c r="M95" s="25">
        <v>108521.37764663328</v>
      </c>
    </row>
    <row r="96" spans="1:13" ht="15.5" hidden="1" thickBot="1" x14ac:dyDescent="0.45">
      <c r="A96" s="10" t="s">
        <v>18</v>
      </c>
      <c r="B96" s="23">
        <v>926.42100000000005</v>
      </c>
      <c r="C96" s="24">
        <v>0</v>
      </c>
      <c r="D96" s="24">
        <f t="shared" si="22"/>
        <v>926.42100000000005</v>
      </c>
      <c r="E96" s="25">
        <v>108625.14216385</v>
      </c>
      <c r="F96" s="23">
        <v>0</v>
      </c>
      <c r="G96" s="24">
        <v>0</v>
      </c>
      <c r="H96" s="24">
        <v>0</v>
      </c>
      <c r="I96" s="25">
        <v>822.65648278328558</v>
      </c>
      <c r="J96" s="23">
        <f t="shared" si="26"/>
        <v>926.42100000000005</v>
      </c>
      <c r="K96" s="24">
        <f>G96+C96</f>
        <v>0</v>
      </c>
      <c r="L96" s="24">
        <f t="shared" si="27"/>
        <v>926.42100000000005</v>
      </c>
      <c r="M96" s="25">
        <v>109447.79864663328</v>
      </c>
    </row>
    <row r="97" spans="1:13" ht="18" hidden="1" customHeight="1" thickBot="1" x14ac:dyDescent="0.45">
      <c r="A97" s="11">
        <v>2005</v>
      </c>
      <c r="B97" s="28"/>
      <c r="C97" s="29"/>
      <c r="D97" s="29"/>
      <c r="E97" s="30"/>
      <c r="F97" s="28"/>
      <c r="G97" s="29"/>
      <c r="H97" s="29"/>
      <c r="I97" s="30"/>
      <c r="J97" s="28"/>
      <c r="K97" s="29"/>
      <c r="L97" s="29"/>
      <c r="M97" s="30"/>
    </row>
    <row r="98" spans="1:13" ht="15.5" hidden="1" thickBot="1" x14ac:dyDescent="0.45">
      <c r="A98" s="10" t="s">
        <v>7</v>
      </c>
      <c r="B98" s="23">
        <v>4000</v>
      </c>
      <c r="C98" s="24">
        <v>773.31339300000002</v>
      </c>
      <c r="D98" s="24">
        <f t="shared" ref="D98:D104" si="28">B98-C98</f>
        <v>3226.6866070000001</v>
      </c>
      <c r="E98" s="25">
        <v>111851.82877085</v>
      </c>
      <c r="F98" s="23">
        <v>0</v>
      </c>
      <c r="G98" s="24">
        <v>0</v>
      </c>
      <c r="H98" s="24">
        <f t="shared" ref="H98:H103" si="29">F98-G98</f>
        <v>0</v>
      </c>
      <c r="I98" s="25">
        <v>822.65648278328558</v>
      </c>
      <c r="J98" s="23">
        <f t="shared" ref="J98:K100" si="30">F98+B98</f>
        <v>4000</v>
      </c>
      <c r="K98" s="24">
        <f t="shared" si="30"/>
        <v>773.31339300000002</v>
      </c>
      <c r="L98" s="24">
        <f t="shared" ref="L98:L103" si="31">J98-K98</f>
        <v>3226.6866070000001</v>
      </c>
      <c r="M98" s="25">
        <v>112674.48525363329</v>
      </c>
    </row>
    <row r="99" spans="1:13" ht="15.5" hidden="1" thickBot="1" x14ac:dyDescent="0.45">
      <c r="A99" s="10" t="s">
        <v>8</v>
      </c>
      <c r="B99" s="23">
        <v>1249.8</v>
      </c>
      <c r="C99" s="24">
        <v>0</v>
      </c>
      <c r="D99" s="24">
        <f t="shared" si="28"/>
        <v>1249.8</v>
      </c>
      <c r="E99" s="25">
        <v>113101.62877085</v>
      </c>
      <c r="F99" s="23">
        <v>0</v>
      </c>
      <c r="G99" s="24">
        <v>0</v>
      </c>
      <c r="H99" s="24">
        <f t="shared" si="29"/>
        <v>0</v>
      </c>
      <c r="I99" s="25">
        <v>822.65648278328558</v>
      </c>
      <c r="J99" s="23">
        <f t="shared" si="30"/>
        <v>1249.8</v>
      </c>
      <c r="K99" s="24">
        <f t="shared" si="30"/>
        <v>0</v>
      </c>
      <c r="L99" s="24">
        <f t="shared" si="31"/>
        <v>1249.8</v>
      </c>
      <c r="M99" s="25">
        <v>113924.28525363328</v>
      </c>
    </row>
    <row r="100" spans="1:13" ht="15.5" hidden="1" thickBot="1" x14ac:dyDescent="0.45">
      <c r="A100" s="10" t="s">
        <v>9</v>
      </c>
      <c r="B100" s="23">
        <v>1650</v>
      </c>
      <c r="C100" s="24">
        <v>0</v>
      </c>
      <c r="D100" s="24">
        <f t="shared" si="28"/>
        <v>1650</v>
      </c>
      <c r="E100" s="25">
        <v>114751.62877085</v>
      </c>
      <c r="F100" s="23">
        <v>0</v>
      </c>
      <c r="G100" s="24">
        <v>0</v>
      </c>
      <c r="H100" s="24">
        <f t="shared" si="29"/>
        <v>0</v>
      </c>
      <c r="I100" s="25">
        <v>822.65648278328558</v>
      </c>
      <c r="J100" s="23">
        <f t="shared" si="30"/>
        <v>1650</v>
      </c>
      <c r="K100" s="24">
        <f t="shared" si="30"/>
        <v>0</v>
      </c>
      <c r="L100" s="24">
        <f t="shared" si="31"/>
        <v>1650</v>
      </c>
      <c r="M100" s="25">
        <v>115574.28525363328</v>
      </c>
    </row>
    <row r="101" spans="1:13" ht="15.5" hidden="1" thickBot="1" x14ac:dyDescent="0.45">
      <c r="A101" s="10" t="s">
        <v>10</v>
      </c>
      <c r="B101" s="23">
        <v>787.93399999999997</v>
      </c>
      <c r="C101" s="24">
        <v>0</v>
      </c>
      <c r="D101" s="24">
        <f t="shared" si="28"/>
        <v>787.93399999999997</v>
      </c>
      <c r="E101" s="25">
        <v>115539.56277085001</v>
      </c>
      <c r="F101" s="23">
        <v>0</v>
      </c>
      <c r="G101" s="24">
        <v>0</v>
      </c>
      <c r="H101" s="24">
        <f t="shared" si="29"/>
        <v>0</v>
      </c>
      <c r="I101" s="25">
        <v>822.65648278328558</v>
      </c>
      <c r="J101" s="23">
        <f t="shared" ref="J101:K103" si="32">F101+B101</f>
        <v>787.93399999999997</v>
      </c>
      <c r="K101" s="24">
        <f t="shared" si="32"/>
        <v>0</v>
      </c>
      <c r="L101" s="24">
        <f t="shared" si="31"/>
        <v>787.93399999999997</v>
      </c>
      <c r="M101" s="25">
        <v>116362.21925363329</v>
      </c>
    </row>
    <row r="102" spans="1:13" ht="15.5" hidden="1" thickBot="1" x14ac:dyDescent="0.45">
      <c r="A102" s="10" t="s">
        <v>11</v>
      </c>
      <c r="B102" s="23">
        <v>5000</v>
      </c>
      <c r="C102" s="24">
        <v>741.26459999999997</v>
      </c>
      <c r="D102" s="24">
        <f t="shared" si="28"/>
        <v>4258.7353999999996</v>
      </c>
      <c r="E102" s="25">
        <v>119798.29817085</v>
      </c>
      <c r="F102" s="23">
        <v>0</v>
      </c>
      <c r="G102" s="24">
        <v>0</v>
      </c>
      <c r="H102" s="24">
        <f t="shared" si="29"/>
        <v>0</v>
      </c>
      <c r="I102" s="25">
        <v>822.65648278328558</v>
      </c>
      <c r="J102" s="23">
        <f t="shared" si="32"/>
        <v>5000</v>
      </c>
      <c r="K102" s="24">
        <f t="shared" si="32"/>
        <v>741.26459999999997</v>
      </c>
      <c r="L102" s="24">
        <f t="shared" si="31"/>
        <v>4258.7353999999996</v>
      </c>
      <c r="M102" s="25">
        <v>120620.95465363329</v>
      </c>
    </row>
    <row r="103" spans="1:13" ht="15.5" hidden="1" thickBot="1" x14ac:dyDescent="0.45">
      <c r="A103" s="10" t="s">
        <v>12</v>
      </c>
      <c r="B103" s="23">
        <v>968.31</v>
      </c>
      <c r="C103" s="24">
        <v>1503.0956590000001</v>
      </c>
      <c r="D103" s="24">
        <f t="shared" si="28"/>
        <v>-534.78565900000012</v>
      </c>
      <c r="E103" s="25">
        <v>119263.51251185</v>
      </c>
      <c r="F103" s="23">
        <v>0</v>
      </c>
      <c r="G103" s="24">
        <v>0</v>
      </c>
      <c r="H103" s="24">
        <f t="shared" si="29"/>
        <v>0</v>
      </c>
      <c r="I103" s="25">
        <v>822.65648278328558</v>
      </c>
      <c r="J103" s="23">
        <f t="shared" si="32"/>
        <v>968.31</v>
      </c>
      <c r="K103" s="24">
        <f t="shared" si="32"/>
        <v>1503.0956590000001</v>
      </c>
      <c r="L103" s="24">
        <f t="shared" si="31"/>
        <v>-534.78565900000012</v>
      </c>
      <c r="M103" s="25">
        <v>120086.16899463329</v>
      </c>
    </row>
    <row r="104" spans="1:13" ht="15.5" hidden="1" thickBot="1" x14ac:dyDescent="0.45">
      <c r="A104" s="10" t="s">
        <v>13</v>
      </c>
      <c r="B104" s="23">
        <v>964.8</v>
      </c>
      <c r="C104" s="24">
        <v>0</v>
      </c>
      <c r="D104" s="24">
        <f t="shared" si="28"/>
        <v>964.8</v>
      </c>
      <c r="E104" s="25">
        <v>120234.31251185</v>
      </c>
      <c r="F104" s="23">
        <v>0</v>
      </c>
      <c r="G104" s="24">
        <v>0</v>
      </c>
      <c r="H104" s="24">
        <f t="shared" ref="H104:H109" si="33">F104-G104</f>
        <v>0</v>
      </c>
      <c r="I104" s="25">
        <v>822.65648278328558</v>
      </c>
      <c r="J104" s="23">
        <f t="shared" ref="J104:K106" si="34">F104+B104</f>
        <v>964.8</v>
      </c>
      <c r="K104" s="24">
        <f t="shared" si="34"/>
        <v>0</v>
      </c>
      <c r="L104" s="24">
        <f t="shared" ref="L104:L109" si="35">J104-K104</f>
        <v>964.8</v>
      </c>
      <c r="M104" s="25">
        <v>121056.96899463328</v>
      </c>
    </row>
    <row r="105" spans="1:13" ht="15.5" hidden="1" thickBot="1" x14ac:dyDescent="0.45">
      <c r="A105" s="10" t="s">
        <v>14</v>
      </c>
      <c r="B105" s="26">
        <v>0</v>
      </c>
      <c r="C105" s="24">
        <v>0</v>
      </c>
      <c r="D105" s="24">
        <f>B105-C105</f>
        <v>0</v>
      </c>
      <c r="E105" s="25">
        <v>120234.31251185</v>
      </c>
      <c r="F105" s="23">
        <v>0</v>
      </c>
      <c r="G105" s="24">
        <v>76.306475879999994</v>
      </c>
      <c r="H105" s="24">
        <f t="shared" si="33"/>
        <v>-76.306475879999994</v>
      </c>
      <c r="I105" s="25">
        <v>746.35000690328559</v>
      </c>
      <c r="J105" s="23">
        <f t="shared" si="34"/>
        <v>0</v>
      </c>
      <c r="K105" s="24">
        <f t="shared" si="34"/>
        <v>76.306475879999994</v>
      </c>
      <c r="L105" s="24">
        <f t="shared" si="35"/>
        <v>-76.306475879999994</v>
      </c>
      <c r="M105" s="25">
        <v>120980.66251875329</v>
      </c>
    </row>
    <row r="106" spans="1:13" ht="15.5" hidden="1" thickBot="1" x14ac:dyDescent="0.45">
      <c r="A106" s="10" t="s">
        <v>15</v>
      </c>
      <c r="B106" s="23">
        <v>550</v>
      </c>
      <c r="C106" s="27">
        <v>0</v>
      </c>
      <c r="D106" s="24">
        <f>B106-C106</f>
        <v>550</v>
      </c>
      <c r="E106" s="25">
        <v>120784.31251185</v>
      </c>
      <c r="F106" s="23">
        <v>0</v>
      </c>
      <c r="G106" s="24">
        <v>0</v>
      </c>
      <c r="H106" s="24">
        <f t="shared" si="33"/>
        <v>0</v>
      </c>
      <c r="I106" s="25">
        <v>746.35000690328559</v>
      </c>
      <c r="J106" s="23">
        <f t="shared" si="34"/>
        <v>550</v>
      </c>
      <c r="K106" s="24">
        <f t="shared" si="34"/>
        <v>0</v>
      </c>
      <c r="L106" s="24">
        <f t="shared" si="35"/>
        <v>550</v>
      </c>
      <c r="M106" s="25">
        <v>121530.66251875329</v>
      </c>
    </row>
    <row r="107" spans="1:13" ht="15.5" hidden="1" thickBot="1" x14ac:dyDescent="0.45">
      <c r="A107" s="10" t="s">
        <v>16</v>
      </c>
      <c r="B107" s="23">
        <v>604.38699999999994</v>
      </c>
      <c r="C107" s="24">
        <v>8826.8845529999999</v>
      </c>
      <c r="D107" s="24">
        <f>B107-C107</f>
        <v>-8222.4975529999992</v>
      </c>
      <c r="E107" s="25">
        <v>112561.81495885001</v>
      </c>
      <c r="F107" s="23">
        <v>0</v>
      </c>
      <c r="G107" s="24">
        <v>0</v>
      </c>
      <c r="H107" s="24">
        <f t="shared" si="33"/>
        <v>0</v>
      </c>
      <c r="I107" s="25">
        <v>746.35000690328559</v>
      </c>
      <c r="J107" s="23">
        <f t="shared" ref="J107:K109" si="36">F107+B107</f>
        <v>604.38699999999994</v>
      </c>
      <c r="K107" s="24">
        <f t="shared" si="36"/>
        <v>8826.8845529999999</v>
      </c>
      <c r="L107" s="24">
        <f t="shared" si="35"/>
        <v>-8222.4975529999992</v>
      </c>
      <c r="M107" s="25">
        <v>113308.1649657533</v>
      </c>
    </row>
    <row r="108" spans="1:13" ht="15.5" hidden="1" thickBot="1" x14ac:dyDescent="0.45">
      <c r="A108" s="10" t="s">
        <v>17</v>
      </c>
      <c r="B108" s="23">
        <v>0</v>
      </c>
      <c r="C108" s="24">
        <v>1119.1641999999999</v>
      </c>
      <c r="D108" s="24">
        <f>B108-C108</f>
        <v>-1119.1641999999999</v>
      </c>
      <c r="E108" s="25">
        <v>111442.65075885001</v>
      </c>
      <c r="F108" s="23">
        <v>0</v>
      </c>
      <c r="G108" s="24">
        <v>1.4534566832856126</v>
      </c>
      <c r="H108" s="24">
        <f t="shared" si="33"/>
        <v>-1.4534566832856126</v>
      </c>
      <c r="I108" s="25">
        <v>744.89655021999999</v>
      </c>
      <c r="J108" s="23">
        <f t="shared" si="36"/>
        <v>0</v>
      </c>
      <c r="K108" s="24">
        <f t="shared" si="36"/>
        <v>1120.6176566832855</v>
      </c>
      <c r="L108" s="24">
        <f t="shared" si="35"/>
        <v>-1120.6176566832855</v>
      </c>
      <c r="M108" s="25">
        <v>112187.54730907001</v>
      </c>
    </row>
    <row r="109" spans="1:13" ht="15.5" hidden="1" thickBot="1" x14ac:dyDescent="0.45">
      <c r="A109" s="10" t="s">
        <v>18</v>
      </c>
      <c r="B109" s="23">
        <v>550</v>
      </c>
      <c r="C109" s="24">
        <v>0</v>
      </c>
      <c r="D109" s="24">
        <f>B109-C109</f>
        <v>550</v>
      </c>
      <c r="E109" s="25">
        <v>111992.65075885001</v>
      </c>
      <c r="F109" s="23">
        <v>0</v>
      </c>
      <c r="G109" s="24">
        <v>0</v>
      </c>
      <c r="H109" s="24">
        <f t="shared" si="33"/>
        <v>0</v>
      </c>
      <c r="I109" s="25">
        <v>744.89655021999999</v>
      </c>
      <c r="J109" s="23">
        <f t="shared" si="36"/>
        <v>550</v>
      </c>
      <c r="K109" s="24">
        <f t="shared" si="36"/>
        <v>0</v>
      </c>
      <c r="L109" s="24">
        <f t="shared" si="35"/>
        <v>550</v>
      </c>
      <c r="M109" s="25">
        <v>112737.54730907001</v>
      </c>
    </row>
    <row r="110" spans="1:13" ht="18" hidden="1" customHeight="1" thickBot="1" x14ac:dyDescent="0.45">
      <c r="A110" s="11">
        <v>2006</v>
      </c>
      <c r="B110" s="28"/>
      <c r="C110" s="29"/>
      <c r="D110" s="29"/>
      <c r="E110" s="30"/>
      <c r="F110" s="28"/>
      <c r="G110" s="29"/>
      <c r="H110" s="29"/>
      <c r="I110" s="30"/>
      <c r="J110" s="28"/>
      <c r="K110" s="29"/>
      <c r="L110" s="29"/>
      <c r="M110" s="30"/>
    </row>
    <row r="111" spans="1:13" ht="15.5" hidden="1" thickBot="1" x14ac:dyDescent="0.45">
      <c r="A111" s="10" t="s">
        <v>7</v>
      </c>
      <c r="B111" s="23">
        <v>4000</v>
      </c>
      <c r="C111" s="24">
        <v>0</v>
      </c>
      <c r="D111" s="24">
        <f t="shared" ref="D111:D122" si="37">B111-C111</f>
        <v>4000</v>
      </c>
      <c r="E111" s="25">
        <v>115992.65075885001</v>
      </c>
      <c r="F111" s="23">
        <v>0</v>
      </c>
      <c r="G111" s="24">
        <v>0</v>
      </c>
      <c r="H111" s="24">
        <f t="shared" ref="H111:H116" si="38">F111-G111</f>
        <v>0</v>
      </c>
      <c r="I111" s="25">
        <v>744.89655021999999</v>
      </c>
      <c r="J111" s="23">
        <f t="shared" ref="J111:K113" si="39">F111+B111</f>
        <v>4000</v>
      </c>
      <c r="K111" s="24">
        <f t="shared" si="39"/>
        <v>0</v>
      </c>
      <c r="L111" s="24">
        <f t="shared" ref="L111:L116" si="40">J111-K111</f>
        <v>4000</v>
      </c>
      <c r="M111" s="25">
        <v>116737.54730907001</v>
      </c>
    </row>
    <row r="112" spans="1:13" ht="15.5" hidden="1" thickBot="1" x14ac:dyDescent="0.45">
      <c r="A112" s="10" t="s">
        <v>8</v>
      </c>
      <c r="B112" s="23">
        <v>1100</v>
      </c>
      <c r="C112" s="24">
        <v>605.26459999999997</v>
      </c>
      <c r="D112" s="24">
        <f t="shared" si="37"/>
        <v>494.73540000000003</v>
      </c>
      <c r="E112" s="25">
        <v>116487.38615885</v>
      </c>
      <c r="F112" s="23">
        <v>0</v>
      </c>
      <c r="G112" s="24">
        <v>0</v>
      </c>
      <c r="H112" s="24">
        <f t="shared" si="38"/>
        <v>0</v>
      </c>
      <c r="I112" s="25">
        <v>744.89655021999999</v>
      </c>
      <c r="J112" s="23">
        <f t="shared" si="39"/>
        <v>1100</v>
      </c>
      <c r="K112" s="24">
        <f t="shared" si="39"/>
        <v>605.26459999999997</v>
      </c>
      <c r="L112" s="24">
        <f t="shared" si="40"/>
        <v>494.73540000000003</v>
      </c>
      <c r="M112" s="25">
        <v>117232.28270907</v>
      </c>
    </row>
    <row r="113" spans="1:13" ht="15.5" hidden="1" thickBot="1" x14ac:dyDescent="0.45">
      <c r="A113" s="10" t="s">
        <v>9</v>
      </c>
      <c r="B113" s="23">
        <v>1100</v>
      </c>
      <c r="C113" s="24">
        <v>0</v>
      </c>
      <c r="D113" s="24">
        <f t="shared" si="37"/>
        <v>1100</v>
      </c>
      <c r="E113" s="25">
        <v>117587.38615885</v>
      </c>
      <c r="F113" s="23">
        <v>0</v>
      </c>
      <c r="G113" s="24">
        <v>14.534566829999999</v>
      </c>
      <c r="H113" s="24">
        <f t="shared" si="38"/>
        <v>-14.534566829999999</v>
      </c>
      <c r="I113" s="25">
        <v>730.36198338999998</v>
      </c>
      <c r="J113" s="23">
        <f t="shared" si="39"/>
        <v>1100</v>
      </c>
      <c r="K113" s="24">
        <f t="shared" si="39"/>
        <v>14.534566829999999</v>
      </c>
      <c r="L113" s="24">
        <f t="shared" si="40"/>
        <v>1085.4654331700001</v>
      </c>
      <c r="M113" s="25">
        <v>118317.74814224</v>
      </c>
    </row>
    <row r="114" spans="1:13" ht="15.5" hidden="1" thickBot="1" x14ac:dyDescent="0.45">
      <c r="A114" s="10" t="s">
        <v>10</v>
      </c>
      <c r="B114" s="23">
        <v>5000</v>
      </c>
      <c r="C114" s="24">
        <v>0</v>
      </c>
      <c r="D114" s="24">
        <f t="shared" si="37"/>
        <v>5000</v>
      </c>
      <c r="E114" s="25">
        <v>122587.38615885</v>
      </c>
      <c r="F114" s="23">
        <v>0</v>
      </c>
      <c r="G114" s="24">
        <v>0</v>
      </c>
      <c r="H114" s="24">
        <f t="shared" si="38"/>
        <v>0</v>
      </c>
      <c r="I114" s="25">
        <v>730.36198338999998</v>
      </c>
      <c r="J114" s="23">
        <f t="shared" ref="J114:K116" si="41">F114+B114</f>
        <v>5000</v>
      </c>
      <c r="K114" s="24">
        <f t="shared" si="41"/>
        <v>0</v>
      </c>
      <c r="L114" s="24">
        <f t="shared" si="40"/>
        <v>5000</v>
      </c>
      <c r="M114" s="25">
        <v>123317.74814224</v>
      </c>
    </row>
    <row r="115" spans="1:13" ht="15.5" hidden="1" thickBot="1" x14ac:dyDescent="0.45">
      <c r="A115" s="10" t="s">
        <v>11</v>
      </c>
      <c r="B115" s="23">
        <v>1659</v>
      </c>
      <c r="C115" s="24">
        <v>882.66420000000005</v>
      </c>
      <c r="D115" s="24">
        <f t="shared" si="37"/>
        <v>776.33579999999995</v>
      </c>
      <c r="E115" s="25">
        <v>123363.72195885</v>
      </c>
      <c r="F115" s="23">
        <v>0</v>
      </c>
      <c r="G115" s="24">
        <v>0</v>
      </c>
      <c r="H115" s="24">
        <f t="shared" si="38"/>
        <v>0</v>
      </c>
      <c r="I115" s="25">
        <v>730.36198338999998</v>
      </c>
      <c r="J115" s="23">
        <f t="shared" si="41"/>
        <v>1659</v>
      </c>
      <c r="K115" s="24">
        <f t="shared" si="41"/>
        <v>882.66420000000005</v>
      </c>
      <c r="L115" s="24">
        <f t="shared" si="40"/>
        <v>776.33579999999995</v>
      </c>
      <c r="M115" s="25">
        <v>124094.08394224</v>
      </c>
    </row>
    <row r="116" spans="1:13" ht="15.5" hidden="1" thickBot="1" x14ac:dyDescent="0.45">
      <c r="A116" s="10" t="s">
        <v>12</v>
      </c>
      <c r="B116" s="23">
        <v>1650</v>
      </c>
      <c r="C116" s="24">
        <v>0</v>
      </c>
      <c r="D116" s="24">
        <f t="shared" si="37"/>
        <v>1650</v>
      </c>
      <c r="E116" s="25">
        <v>125013.72195885</v>
      </c>
      <c r="F116" s="23">
        <v>0</v>
      </c>
      <c r="G116" s="24">
        <v>0</v>
      </c>
      <c r="H116" s="24">
        <f t="shared" si="38"/>
        <v>0</v>
      </c>
      <c r="I116" s="25">
        <v>730.36198338999998</v>
      </c>
      <c r="J116" s="23">
        <f t="shared" si="41"/>
        <v>1650</v>
      </c>
      <c r="K116" s="24">
        <f t="shared" si="41"/>
        <v>0</v>
      </c>
      <c r="L116" s="24">
        <f t="shared" si="40"/>
        <v>1650</v>
      </c>
      <c r="M116" s="25">
        <v>125744.08394224</v>
      </c>
    </row>
    <row r="117" spans="1:13" ht="15.5" hidden="1" thickBot="1" x14ac:dyDescent="0.45">
      <c r="A117" s="10" t="s">
        <v>13</v>
      </c>
      <c r="B117" s="23">
        <v>1650</v>
      </c>
      <c r="C117" s="24">
        <v>6405.1053925400001</v>
      </c>
      <c r="D117" s="24">
        <f t="shared" si="37"/>
        <v>-4755.1053925400001</v>
      </c>
      <c r="E117" s="25">
        <v>120258.61656631</v>
      </c>
      <c r="F117" s="23">
        <v>0</v>
      </c>
      <c r="G117" s="24">
        <v>0</v>
      </c>
      <c r="H117" s="24">
        <f t="shared" ref="H117:H122" si="42">F117-G117</f>
        <v>0</v>
      </c>
      <c r="I117" s="25">
        <v>730.36198338999998</v>
      </c>
      <c r="J117" s="23">
        <f t="shared" ref="J117:K119" si="43">F117+B117</f>
        <v>1650</v>
      </c>
      <c r="K117" s="24">
        <f t="shared" si="43"/>
        <v>6405.1053925400001</v>
      </c>
      <c r="L117" s="24">
        <f t="shared" ref="L117:L122" si="44">J117-K117</f>
        <v>-4755.1053925400001</v>
      </c>
      <c r="M117" s="25">
        <v>120988.9785497</v>
      </c>
    </row>
    <row r="118" spans="1:13" ht="15.5" hidden="1" thickBot="1" x14ac:dyDescent="0.45">
      <c r="A118" s="10" t="s">
        <v>14</v>
      </c>
      <c r="B118" s="26">
        <v>0</v>
      </c>
      <c r="C118" s="24">
        <v>0</v>
      </c>
      <c r="D118" s="24">
        <f t="shared" si="37"/>
        <v>0</v>
      </c>
      <c r="E118" s="25">
        <v>120258.61656631</v>
      </c>
      <c r="F118" s="23">
        <v>0</v>
      </c>
      <c r="G118" s="24">
        <v>76.30647587</v>
      </c>
      <c r="H118" s="24">
        <f t="shared" si="42"/>
        <v>-76.30647587</v>
      </c>
      <c r="I118" s="25">
        <v>654.05550751999999</v>
      </c>
      <c r="J118" s="23">
        <f t="shared" si="43"/>
        <v>0</v>
      </c>
      <c r="K118" s="24">
        <f t="shared" si="43"/>
        <v>76.30647587</v>
      </c>
      <c r="L118" s="24">
        <f t="shared" si="44"/>
        <v>-76.30647587</v>
      </c>
      <c r="M118" s="25">
        <v>120912.67207383001</v>
      </c>
    </row>
    <row r="119" spans="1:13" ht="15.5" hidden="1" thickBot="1" x14ac:dyDescent="0.45">
      <c r="A119" s="10" t="s">
        <v>15</v>
      </c>
      <c r="B119" s="23">
        <v>1320</v>
      </c>
      <c r="C119" s="27">
        <v>0</v>
      </c>
      <c r="D119" s="24">
        <f t="shared" si="37"/>
        <v>1320</v>
      </c>
      <c r="E119" s="25">
        <v>121578.61656631</v>
      </c>
      <c r="F119" s="23">
        <v>0</v>
      </c>
      <c r="G119" s="24">
        <v>0</v>
      </c>
      <c r="H119" s="24">
        <f t="shared" si="42"/>
        <v>0</v>
      </c>
      <c r="I119" s="25">
        <v>654.05550751999999</v>
      </c>
      <c r="J119" s="23">
        <f t="shared" si="43"/>
        <v>1320</v>
      </c>
      <c r="K119" s="24">
        <f t="shared" si="43"/>
        <v>0</v>
      </c>
      <c r="L119" s="24">
        <f t="shared" si="44"/>
        <v>1320</v>
      </c>
      <c r="M119" s="25">
        <v>122232.67207383001</v>
      </c>
    </row>
    <row r="120" spans="1:13" ht="15.5" hidden="1" thickBot="1" x14ac:dyDescent="0.45">
      <c r="A120" s="10" t="s">
        <v>16</v>
      </c>
      <c r="B120" s="23">
        <v>880</v>
      </c>
      <c r="C120" s="24">
        <v>0</v>
      </c>
      <c r="D120" s="24">
        <f t="shared" si="37"/>
        <v>880</v>
      </c>
      <c r="E120" s="25">
        <v>122458.61656631</v>
      </c>
      <c r="F120" s="23">
        <v>0</v>
      </c>
      <c r="G120" s="24">
        <v>0</v>
      </c>
      <c r="H120" s="24">
        <f t="shared" si="42"/>
        <v>0</v>
      </c>
      <c r="I120" s="25">
        <v>654.05550751999999</v>
      </c>
      <c r="J120" s="23">
        <f t="shared" ref="J120:K122" si="45">F120+B120</f>
        <v>880</v>
      </c>
      <c r="K120" s="24">
        <f t="shared" si="45"/>
        <v>0</v>
      </c>
      <c r="L120" s="24">
        <f t="shared" si="44"/>
        <v>880</v>
      </c>
      <c r="M120" s="25">
        <v>123112.67207383001</v>
      </c>
    </row>
    <row r="121" spans="1:13" ht="15.5" hidden="1" thickBot="1" x14ac:dyDescent="0.45">
      <c r="A121" s="10" t="s">
        <v>17</v>
      </c>
      <c r="B121" s="23">
        <v>0</v>
      </c>
      <c r="C121" s="24">
        <v>0</v>
      </c>
      <c r="D121" s="24">
        <f t="shared" si="37"/>
        <v>0</v>
      </c>
      <c r="E121" s="25">
        <v>122458.61656631</v>
      </c>
      <c r="F121" s="23">
        <v>0</v>
      </c>
      <c r="G121" s="24">
        <v>54.50462563</v>
      </c>
      <c r="H121" s="24">
        <f t="shared" si="42"/>
        <v>-54.50462563</v>
      </c>
      <c r="I121" s="25">
        <v>599.55088189000003</v>
      </c>
      <c r="J121" s="23">
        <f t="shared" si="45"/>
        <v>0</v>
      </c>
      <c r="K121" s="24">
        <f t="shared" si="45"/>
        <v>54.50462563</v>
      </c>
      <c r="L121" s="24">
        <f t="shared" si="44"/>
        <v>-54.50462563</v>
      </c>
      <c r="M121" s="25">
        <v>123058.16744819999</v>
      </c>
    </row>
    <row r="122" spans="1:13" ht="15.5" hidden="1" thickBot="1" x14ac:dyDescent="0.45">
      <c r="A122" s="10" t="s">
        <v>18</v>
      </c>
      <c r="B122" s="23">
        <v>0</v>
      </c>
      <c r="C122" s="24">
        <v>0</v>
      </c>
      <c r="D122" s="24">
        <f t="shared" si="37"/>
        <v>0</v>
      </c>
      <c r="E122" s="25">
        <v>122458.61656631</v>
      </c>
      <c r="F122" s="23">
        <v>0</v>
      </c>
      <c r="G122" s="24">
        <v>0</v>
      </c>
      <c r="H122" s="24">
        <f t="shared" si="42"/>
        <v>0</v>
      </c>
      <c r="I122" s="25">
        <v>599.55088189000003</v>
      </c>
      <c r="J122" s="23">
        <f t="shared" si="45"/>
        <v>0</v>
      </c>
      <c r="K122" s="24">
        <f t="shared" si="45"/>
        <v>0</v>
      </c>
      <c r="L122" s="24">
        <f t="shared" si="44"/>
        <v>0</v>
      </c>
      <c r="M122" s="25">
        <v>123058.16744819999</v>
      </c>
    </row>
    <row r="123" spans="1:13" ht="18" hidden="1" customHeight="1" thickBot="1" x14ac:dyDescent="0.45">
      <c r="A123" s="11">
        <v>2007</v>
      </c>
      <c r="B123" s="28"/>
      <c r="C123" s="29"/>
      <c r="D123" s="29"/>
      <c r="E123" s="30"/>
      <c r="F123" s="28"/>
      <c r="G123" s="29"/>
      <c r="H123" s="29"/>
      <c r="I123" s="30"/>
      <c r="J123" s="28"/>
      <c r="K123" s="29"/>
      <c r="L123" s="29"/>
      <c r="M123" s="30"/>
    </row>
    <row r="124" spans="1:13" ht="15.5" hidden="1" thickBot="1" x14ac:dyDescent="0.45">
      <c r="A124" s="10" t="s">
        <v>7</v>
      </c>
      <c r="B124" s="23">
        <v>3000</v>
      </c>
      <c r="C124" s="24">
        <v>937.495</v>
      </c>
      <c r="D124" s="24">
        <f t="shared" ref="D124:D133" si="46">B124-C124</f>
        <v>2062.5050000000001</v>
      </c>
      <c r="E124" s="25">
        <v>124521.12156631</v>
      </c>
      <c r="F124" s="23">
        <v>0</v>
      </c>
      <c r="G124" s="24">
        <v>0</v>
      </c>
      <c r="H124" s="24">
        <f t="shared" ref="H124:H129" si="47">F124-G124</f>
        <v>0</v>
      </c>
      <c r="I124" s="25">
        <v>599.55088189000003</v>
      </c>
      <c r="J124" s="23">
        <f t="shared" ref="J124:K126" si="48">F124+B124</f>
        <v>3000</v>
      </c>
      <c r="K124" s="24">
        <f t="shared" si="48"/>
        <v>937.495</v>
      </c>
      <c r="L124" s="24">
        <f t="shared" ref="L124:L129" si="49">J124-K124</f>
        <v>2062.5050000000001</v>
      </c>
      <c r="M124" s="25">
        <v>125120.6724482</v>
      </c>
    </row>
    <row r="125" spans="1:13" ht="15.5" hidden="1" thickBot="1" x14ac:dyDescent="0.45">
      <c r="A125" s="10" t="s">
        <v>8</v>
      </c>
      <c r="B125" s="23">
        <v>1100</v>
      </c>
      <c r="C125" s="24">
        <v>0</v>
      </c>
      <c r="D125" s="24">
        <f t="shared" si="46"/>
        <v>1100</v>
      </c>
      <c r="E125" s="25">
        <v>125621.12156631</v>
      </c>
      <c r="F125" s="23">
        <v>0</v>
      </c>
      <c r="G125" s="24">
        <v>0</v>
      </c>
      <c r="H125" s="24">
        <f t="shared" si="47"/>
        <v>0</v>
      </c>
      <c r="I125" s="25">
        <v>599.55088189000003</v>
      </c>
      <c r="J125" s="23">
        <f t="shared" si="48"/>
        <v>1100</v>
      </c>
      <c r="K125" s="24">
        <f t="shared" si="48"/>
        <v>0</v>
      </c>
      <c r="L125" s="24">
        <f t="shared" si="49"/>
        <v>1100</v>
      </c>
      <c r="M125" s="25">
        <v>126220.6724482</v>
      </c>
    </row>
    <row r="126" spans="1:13" ht="15.5" hidden="1" thickBot="1" x14ac:dyDescent="0.45">
      <c r="A126" s="10" t="s">
        <v>9</v>
      </c>
      <c r="B126" s="23">
        <v>1320</v>
      </c>
      <c r="C126" s="24">
        <v>0</v>
      </c>
      <c r="D126" s="24">
        <f t="shared" si="46"/>
        <v>1320</v>
      </c>
      <c r="E126" s="25">
        <v>126941.12156631</v>
      </c>
      <c r="F126" s="23">
        <v>0</v>
      </c>
      <c r="G126" s="24">
        <v>0</v>
      </c>
      <c r="H126" s="24">
        <f t="shared" si="47"/>
        <v>0</v>
      </c>
      <c r="I126" s="25">
        <v>599.55088189000003</v>
      </c>
      <c r="J126" s="23">
        <f t="shared" si="48"/>
        <v>1320</v>
      </c>
      <c r="K126" s="24">
        <f t="shared" si="48"/>
        <v>0</v>
      </c>
      <c r="L126" s="24">
        <f t="shared" si="49"/>
        <v>1320</v>
      </c>
      <c r="M126" s="25">
        <v>127540.6724482</v>
      </c>
    </row>
    <row r="127" spans="1:13" ht="15.5" hidden="1" thickBot="1" x14ac:dyDescent="0.45">
      <c r="A127" s="10" t="s">
        <v>10</v>
      </c>
      <c r="B127" s="23">
        <v>1650</v>
      </c>
      <c r="C127" s="24">
        <v>1454.46</v>
      </c>
      <c r="D127" s="24">
        <f t="shared" si="46"/>
        <v>195.53999999999996</v>
      </c>
      <c r="E127" s="25">
        <v>127136.66156630999</v>
      </c>
      <c r="F127" s="23">
        <v>0</v>
      </c>
      <c r="G127" s="24">
        <v>0</v>
      </c>
      <c r="H127" s="24">
        <f t="shared" si="47"/>
        <v>0</v>
      </c>
      <c r="I127" s="25">
        <v>599.55088189000003</v>
      </c>
      <c r="J127" s="23">
        <f t="shared" ref="J127:K129" si="50">F127+B127</f>
        <v>1650</v>
      </c>
      <c r="K127" s="24">
        <f t="shared" si="50"/>
        <v>1454.46</v>
      </c>
      <c r="L127" s="24">
        <f t="shared" si="49"/>
        <v>195.53999999999996</v>
      </c>
      <c r="M127" s="25">
        <v>127736.21244819999</v>
      </c>
    </row>
    <row r="128" spans="1:13" ht="15.5" hidden="1" thickBot="1" x14ac:dyDescent="0.45">
      <c r="A128" s="10" t="s">
        <v>11</v>
      </c>
      <c r="B128" s="23">
        <v>1100</v>
      </c>
      <c r="C128" s="24">
        <v>0</v>
      </c>
      <c r="D128" s="24">
        <f t="shared" si="46"/>
        <v>1100</v>
      </c>
      <c r="E128" s="25">
        <v>128236.66156630999</v>
      </c>
      <c r="F128" s="23">
        <v>0</v>
      </c>
      <c r="G128" s="24">
        <v>0</v>
      </c>
      <c r="H128" s="24">
        <f t="shared" si="47"/>
        <v>0</v>
      </c>
      <c r="I128" s="25">
        <v>599.55088189000003</v>
      </c>
      <c r="J128" s="23">
        <f t="shared" si="50"/>
        <v>1100</v>
      </c>
      <c r="K128" s="24">
        <f t="shared" si="50"/>
        <v>0</v>
      </c>
      <c r="L128" s="24">
        <f t="shared" si="49"/>
        <v>1100</v>
      </c>
      <c r="M128" s="25">
        <v>128836.21244819999</v>
      </c>
    </row>
    <row r="129" spans="1:14" ht="15.5" hidden="1" thickBot="1" x14ac:dyDescent="0.45">
      <c r="A129" s="10" t="s">
        <v>12</v>
      </c>
      <c r="B129" s="23">
        <v>2650</v>
      </c>
      <c r="C129" s="24">
        <v>0</v>
      </c>
      <c r="D129" s="24">
        <f t="shared" si="46"/>
        <v>2650</v>
      </c>
      <c r="E129" s="25">
        <v>130886.66156630999</v>
      </c>
      <c r="F129" s="23">
        <v>0</v>
      </c>
      <c r="G129" s="24">
        <v>0</v>
      </c>
      <c r="H129" s="24">
        <f t="shared" si="47"/>
        <v>0</v>
      </c>
      <c r="I129" s="25">
        <v>599.55088189000003</v>
      </c>
      <c r="J129" s="23">
        <f t="shared" si="50"/>
        <v>2650</v>
      </c>
      <c r="K129" s="24">
        <f t="shared" si="50"/>
        <v>0</v>
      </c>
      <c r="L129" s="24">
        <f t="shared" si="49"/>
        <v>2650</v>
      </c>
      <c r="M129" s="25">
        <v>131486.21244820001</v>
      </c>
    </row>
    <row r="130" spans="1:14" ht="15.5" hidden="1" thickBot="1" x14ac:dyDescent="0.45">
      <c r="A130" s="10" t="s">
        <v>13</v>
      </c>
      <c r="B130" s="23">
        <v>1650</v>
      </c>
      <c r="C130" s="24">
        <v>1049.369064</v>
      </c>
      <c r="D130" s="24">
        <f t="shared" si="46"/>
        <v>600.63093600000002</v>
      </c>
      <c r="E130" s="25">
        <v>131487.29250231001</v>
      </c>
      <c r="F130" s="23">
        <v>0</v>
      </c>
      <c r="G130" s="24">
        <v>0</v>
      </c>
      <c r="H130" s="24">
        <f t="shared" ref="H130:H135" si="51">F130-G130</f>
        <v>0</v>
      </c>
      <c r="I130" s="25">
        <v>599.55088189000003</v>
      </c>
      <c r="J130" s="23">
        <f t="shared" ref="J130:K132" si="52">F130+B130</f>
        <v>1650</v>
      </c>
      <c r="K130" s="24">
        <f t="shared" si="52"/>
        <v>1049.369064</v>
      </c>
      <c r="L130" s="24">
        <f t="shared" ref="L130:L135" si="53">J130-K130</f>
        <v>600.63093600000002</v>
      </c>
      <c r="M130" s="25">
        <v>132086.84338420001</v>
      </c>
    </row>
    <row r="131" spans="1:14" ht="15.5" hidden="1" thickBot="1" x14ac:dyDescent="0.45">
      <c r="A131" s="10" t="s">
        <v>14</v>
      </c>
      <c r="B131" s="26">
        <v>0</v>
      </c>
      <c r="C131" s="24">
        <v>0</v>
      </c>
      <c r="D131" s="24">
        <f t="shared" si="46"/>
        <v>0</v>
      </c>
      <c r="E131" s="25">
        <v>131487.29250231001</v>
      </c>
      <c r="F131" s="23">
        <v>0</v>
      </c>
      <c r="G131" s="24">
        <v>0</v>
      </c>
      <c r="H131" s="24">
        <f t="shared" si="51"/>
        <v>0</v>
      </c>
      <c r="I131" s="25">
        <v>599.55088189000003</v>
      </c>
      <c r="J131" s="23">
        <f t="shared" si="52"/>
        <v>0</v>
      </c>
      <c r="K131" s="24">
        <f t="shared" si="52"/>
        <v>0</v>
      </c>
      <c r="L131" s="24">
        <f t="shared" si="53"/>
        <v>0</v>
      </c>
      <c r="M131" s="25">
        <v>132086.84338420001</v>
      </c>
    </row>
    <row r="132" spans="1:14" ht="15.5" hidden="1" thickBot="1" x14ac:dyDescent="0.45">
      <c r="A132" s="10" t="s">
        <v>15</v>
      </c>
      <c r="B132" s="26">
        <v>5000</v>
      </c>
      <c r="C132" s="24">
        <v>0</v>
      </c>
      <c r="D132" s="24">
        <f t="shared" si="46"/>
        <v>5000</v>
      </c>
      <c r="E132" s="25">
        <v>136487.29250231001</v>
      </c>
      <c r="F132" s="23">
        <v>0</v>
      </c>
      <c r="G132" s="24">
        <v>0</v>
      </c>
      <c r="H132" s="24">
        <f t="shared" si="51"/>
        <v>0</v>
      </c>
      <c r="I132" s="25">
        <v>599.55088189000003</v>
      </c>
      <c r="J132" s="23">
        <f t="shared" si="52"/>
        <v>5000</v>
      </c>
      <c r="K132" s="24">
        <f t="shared" si="52"/>
        <v>0</v>
      </c>
      <c r="L132" s="24">
        <f t="shared" si="53"/>
        <v>5000</v>
      </c>
      <c r="M132" s="25">
        <v>137086.84338420001</v>
      </c>
    </row>
    <row r="133" spans="1:14" ht="15.5" hidden="1" thickBot="1" x14ac:dyDescent="0.45">
      <c r="A133" s="10" t="s">
        <v>16</v>
      </c>
      <c r="B133" s="23">
        <v>1129.8510000000001</v>
      </c>
      <c r="C133" s="24">
        <v>8749.4840000000004</v>
      </c>
      <c r="D133" s="24">
        <f t="shared" si="46"/>
        <v>-7619.6329999999998</v>
      </c>
      <c r="E133" s="25">
        <v>128867.65950230999</v>
      </c>
      <c r="F133" s="23">
        <v>0</v>
      </c>
      <c r="G133" s="24">
        <v>0</v>
      </c>
      <c r="H133" s="24">
        <f t="shared" si="51"/>
        <v>0</v>
      </c>
      <c r="I133" s="25">
        <v>599.55088189000003</v>
      </c>
      <c r="J133" s="23">
        <f t="shared" ref="J133:K135" si="54">F133+B133</f>
        <v>1129.8510000000001</v>
      </c>
      <c r="K133" s="24">
        <f t="shared" si="54"/>
        <v>8749.4840000000004</v>
      </c>
      <c r="L133" s="24">
        <f t="shared" si="53"/>
        <v>-7619.6329999999998</v>
      </c>
      <c r="M133" s="25">
        <v>129467.21038419999</v>
      </c>
    </row>
    <row r="134" spans="1:14" ht="15.5" hidden="1" thickBot="1" x14ac:dyDescent="0.45">
      <c r="A134" s="10" t="s">
        <v>17</v>
      </c>
      <c r="B134" s="23">
        <v>0</v>
      </c>
      <c r="C134" s="24">
        <v>0</v>
      </c>
      <c r="D134" s="24">
        <f>B134-C134</f>
        <v>0</v>
      </c>
      <c r="E134" s="25">
        <v>128867.65950230999</v>
      </c>
      <c r="F134" s="23">
        <v>0</v>
      </c>
      <c r="G134" s="24">
        <v>10.901</v>
      </c>
      <c r="H134" s="24">
        <f t="shared" si="51"/>
        <v>-10.901</v>
      </c>
      <c r="I134" s="25">
        <v>588.64995676000001</v>
      </c>
      <c r="J134" s="23">
        <f t="shared" si="54"/>
        <v>0</v>
      </c>
      <c r="K134" s="24">
        <f t="shared" si="54"/>
        <v>10.901</v>
      </c>
      <c r="L134" s="24">
        <f t="shared" si="53"/>
        <v>-10.901</v>
      </c>
      <c r="M134" s="25">
        <v>129456.30945906999</v>
      </c>
    </row>
    <row r="135" spans="1:14" ht="15.5" hidden="1" thickBot="1" x14ac:dyDescent="0.45">
      <c r="A135" s="10" t="s">
        <v>18</v>
      </c>
      <c r="B135" s="23">
        <v>557.5</v>
      </c>
      <c r="C135" s="24">
        <v>0</v>
      </c>
      <c r="D135" s="24">
        <f>B135-C135</f>
        <v>557.5</v>
      </c>
      <c r="E135" s="25">
        <v>129425.15950230999</v>
      </c>
      <c r="F135" s="23">
        <f>SUM(145345668.34+109009251.25+75000000)/1000000</f>
        <v>329.35491959000001</v>
      </c>
      <c r="G135" s="24">
        <v>0</v>
      </c>
      <c r="H135" s="24">
        <f t="shared" si="51"/>
        <v>329.35491959000001</v>
      </c>
      <c r="I135" s="25">
        <f>I134+F135-G135</f>
        <v>918.00487635000002</v>
      </c>
      <c r="J135" s="23">
        <f t="shared" si="54"/>
        <v>886.85491959000001</v>
      </c>
      <c r="K135" s="24">
        <f t="shared" si="54"/>
        <v>0</v>
      </c>
      <c r="L135" s="24">
        <f t="shared" si="53"/>
        <v>886.85491959000001</v>
      </c>
      <c r="M135" s="25">
        <v>130343.16437866</v>
      </c>
    </row>
    <row r="136" spans="1:14" ht="18" hidden="1" customHeight="1" thickBot="1" x14ac:dyDescent="0.45">
      <c r="A136" s="11">
        <v>2008</v>
      </c>
      <c r="B136" s="28"/>
      <c r="C136" s="29"/>
      <c r="D136" s="29"/>
      <c r="E136" s="30"/>
      <c r="F136" s="28"/>
      <c r="G136" s="29"/>
      <c r="H136" s="29"/>
      <c r="I136" s="30"/>
      <c r="J136" s="28"/>
      <c r="K136" s="29"/>
      <c r="L136" s="29"/>
      <c r="M136" s="30"/>
    </row>
    <row r="137" spans="1:14" ht="15.5" hidden="1" thickBot="1" x14ac:dyDescent="0.45">
      <c r="A137" s="10" t="s">
        <v>7</v>
      </c>
      <c r="B137" s="23">
        <v>4000</v>
      </c>
      <c r="C137" s="24">
        <v>8140.09</v>
      </c>
      <c r="D137" s="24">
        <f t="shared" ref="D137:D142" si="55">B137-C137</f>
        <v>-4140.09</v>
      </c>
      <c r="E137" s="25">
        <v>125285.07000230999</v>
      </c>
      <c r="F137" s="23">
        <v>0</v>
      </c>
      <c r="G137" s="24">
        <v>75</v>
      </c>
      <c r="H137" s="24">
        <f t="shared" ref="H137:H142" si="56">F137-G137</f>
        <v>-75</v>
      </c>
      <c r="I137" s="25">
        <v>843.00487635000002</v>
      </c>
      <c r="J137" s="23">
        <f t="shared" ref="J137:K139" si="57">F137+B137</f>
        <v>4000</v>
      </c>
      <c r="K137" s="24">
        <f t="shared" si="57"/>
        <v>8215.09</v>
      </c>
      <c r="L137" s="24">
        <f t="shared" ref="L137:L142" si="58">J137-K137</f>
        <v>-4215.09</v>
      </c>
      <c r="M137" s="25">
        <v>126128.07487866</v>
      </c>
      <c r="N137" s="12"/>
    </row>
    <row r="138" spans="1:14" ht="15.5" hidden="1" thickBot="1" x14ac:dyDescent="0.45">
      <c r="A138" s="10" t="s">
        <v>8</v>
      </c>
      <c r="B138" s="23">
        <v>614.279</v>
      </c>
      <c r="C138" s="24">
        <v>0</v>
      </c>
      <c r="D138" s="24">
        <f t="shared" si="55"/>
        <v>614.279</v>
      </c>
      <c r="E138" s="25">
        <v>125899.34900231</v>
      </c>
      <c r="F138" s="23">
        <v>0</v>
      </c>
      <c r="G138" s="24">
        <v>170.78116030000001</v>
      </c>
      <c r="H138" s="24">
        <f t="shared" si="56"/>
        <v>-170.78116030000001</v>
      </c>
      <c r="I138" s="25">
        <v>672.22371605000001</v>
      </c>
      <c r="J138" s="23">
        <f t="shared" si="57"/>
        <v>614.279</v>
      </c>
      <c r="K138" s="24">
        <f t="shared" si="57"/>
        <v>170.78116030000001</v>
      </c>
      <c r="L138" s="24">
        <f t="shared" si="58"/>
        <v>443.49783969999999</v>
      </c>
      <c r="M138" s="25">
        <v>126571.57271836</v>
      </c>
      <c r="N138" s="12"/>
    </row>
    <row r="139" spans="1:14" ht="15.5" hidden="1" thickBot="1" x14ac:dyDescent="0.45">
      <c r="A139" s="10" t="s">
        <v>9</v>
      </c>
      <c r="B139" s="23">
        <v>1100</v>
      </c>
      <c r="C139" s="24">
        <v>0</v>
      </c>
      <c r="D139" s="24">
        <f t="shared" si="55"/>
        <v>1100</v>
      </c>
      <c r="E139" s="25">
        <v>126999.34900231</v>
      </c>
      <c r="F139" s="23">
        <v>0</v>
      </c>
      <c r="G139" s="24">
        <v>0</v>
      </c>
      <c r="H139" s="24">
        <f t="shared" si="56"/>
        <v>0</v>
      </c>
      <c r="I139" s="25">
        <v>672.22371605000001</v>
      </c>
      <c r="J139" s="23">
        <f t="shared" si="57"/>
        <v>1100</v>
      </c>
      <c r="K139" s="24">
        <f t="shared" si="57"/>
        <v>0</v>
      </c>
      <c r="L139" s="24">
        <f t="shared" si="58"/>
        <v>1100</v>
      </c>
      <c r="M139" s="25">
        <v>127671.57271836</v>
      </c>
      <c r="N139" s="12"/>
    </row>
    <row r="140" spans="1:14" ht="15.5" hidden="1" thickBot="1" x14ac:dyDescent="0.45">
      <c r="A140" s="10" t="s">
        <v>10</v>
      </c>
      <c r="B140" s="23">
        <v>550</v>
      </c>
      <c r="C140" s="24">
        <v>0</v>
      </c>
      <c r="D140" s="24">
        <f t="shared" si="55"/>
        <v>550</v>
      </c>
      <c r="E140" s="25">
        <v>127549.34900231</v>
      </c>
      <c r="F140" s="23">
        <v>0</v>
      </c>
      <c r="G140" s="24">
        <v>0</v>
      </c>
      <c r="H140" s="24">
        <f t="shared" si="56"/>
        <v>0</v>
      </c>
      <c r="I140" s="25">
        <v>672.22371605000001</v>
      </c>
      <c r="J140" s="23">
        <f t="shared" ref="J140:K142" si="59">F140+B140</f>
        <v>550</v>
      </c>
      <c r="K140" s="24">
        <f t="shared" si="59"/>
        <v>0</v>
      </c>
      <c r="L140" s="24">
        <f t="shared" si="58"/>
        <v>550</v>
      </c>
      <c r="M140" s="25">
        <v>128221.57271836</v>
      </c>
      <c r="N140" s="12"/>
    </row>
    <row r="141" spans="1:14" ht="15.5" hidden="1" thickBot="1" x14ac:dyDescent="0.45">
      <c r="A141" s="10" t="s">
        <v>11</v>
      </c>
      <c r="B141" s="23">
        <v>550</v>
      </c>
      <c r="C141" s="24">
        <v>0</v>
      </c>
      <c r="D141" s="24">
        <f t="shared" si="55"/>
        <v>550</v>
      </c>
      <c r="E141" s="25">
        <v>128099.34900231</v>
      </c>
      <c r="F141" s="23">
        <v>0</v>
      </c>
      <c r="G141" s="24">
        <v>0</v>
      </c>
      <c r="H141" s="24">
        <f t="shared" si="56"/>
        <v>0</v>
      </c>
      <c r="I141" s="25">
        <v>672.22371605000001</v>
      </c>
      <c r="J141" s="23">
        <f t="shared" si="59"/>
        <v>550</v>
      </c>
      <c r="K141" s="24">
        <f t="shared" si="59"/>
        <v>0</v>
      </c>
      <c r="L141" s="24">
        <f t="shared" si="58"/>
        <v>550</v>
      </c>
      <c r="M141" s="25">
        <v>128771.57271836</v>
      </c>
      <c r="N141" s="12"/>
    </row>
    <row r="142" spans="1:14" ht="15.5" hidden="1" thickBot="1" x14ac:dyDescent="0.45">
      <c r="A142" s="10" t="s">
        <v>12</v>
      </c>
      <c r="B142" s="23">
        <v>550</v>
      </c>
      <c r="C142" s="24">
        <v>0</v>
      </c>
      <c r="D142" s="24">
        <f t="shared" si="55"/>
        <v>550</v>
      </c>
      <c r="E142" s="25">
        <v>128649.34900231</v>
      </c>
      <c r="F142" s="23">
        <v>0</v>
      </c>
      <c r="G142" s="24">
        <v>0</v>
      </c>
      <c r="H142" s="24">
        <f t="shared" si="56"/>
        <v>0</v>
      </c>
      <c r="I142" s="25">
        <v>672.22371605000001</v>
      </c>
      <c r="J142" s="23">
        <f t="shared" si="59"/>
        <v>550</v>
      </c>
      <c r="K142" s="24">
        <f t="shared" si="59"/>
        <v>0</v>
      </c>
      <c r="L142" s="24">
        <f t="shared" si="58"/>
        <v>550</v>
      </c>
      <c r="M142" s="25">
        <v>129321.57271836</v>
      </c>
      <c r="N142" s="12"/>
    </row>
    <row r="143" spans="1:14" ht="15.5" hidden="1" thickBot="1" x14ac:dyDescent="0.45">
      <c r="A143" s="10" t="s">
        <v>13</v>
      </c>
      <c r="B143" s="23">
        <v>550</v>
      </c>
      <c r="C143" s="24">
        <v>0</v>
      </c>
      <c r="D143" s="24">
        <f t="shared" ref="D143:D148" si="60">B143-C143</f>
        <v>550</v>
      </c>
      <c r="E143" s="25">
        <v>129199.34900231</v>
      </c>
      <c r="F143" s="23">
        <v>0</v>
      </c>
      <c r="G143" s="24">
        <v>0</v>
      </c>
      <c r="H143" s="24">
        <f t="shared" ref="H143:H148" si="61">F143-G143</f>
        <v>0</v>
      </c>
      <c r="I143" s="25">
        <v>672.22371605000001</v>
      </c>
      <c r="J143" s="23">
        <f t="shared" ref="J143:K145" si="62">F143+B143</f>
        <v>550</v>
      </c>
      <c r="K143" s="24">
        <f t="shared" si="62"/>
        <v>0</v>
      </c>
      <c r="L143" s="24">
        <f t="shared" ref="L143:L148" si="63">J143-K143</f>
        <v>550</v>
      </c>
      <c r="M143" s="25">
        <v>129871.57271836</v>
      </c>
      <c r="N143" s="12"/>
    </row>
    <row r="144" spans="1:14" ht="15.5" hidden="1" thickBot="1" x14ac:dyDescent="0.45">
      <c r="A144" s="10" t="s">
        <v>14</v>
      </c>
      <c r="B144" s="23">
        <v>0</v>
      </c>
      <c r="C144" s="24">
        <v>0</v>
      </c>
      <c r="D144" s="24">
        <f t="shared" si="60"/>
        <v>0</v>
      </c>
      <c r="E144" s="25">
        <v>129199.34900231</v>
      </c>
      <c r="F144" s="23">
        <v>0</v>
      </c>
      <c r="G144" s="24">
        <v>0</v>
      </c>
      <c r="H144" s="24">
        <f t="shared" si="61"/>
        <v>0</v>
      </c>
      <c r="I144" s="25">
        <v>672.22371605000001</v>
      </c>
      <c r="J144" s="23">
        <f t="shared" si="62"/>
        <v>0</v>
      </c>
      <c r="K144" s="24">
        <f t="shared" si="62"/>
        <v>0</v>
      </c>
      <c r="L144" s="24">
        <f t="shared" si="63"/>
        <v>0</v>
      </c>
      <c r="M144" s="25">
        <v>129871.57271836</v>
      </c>
      <c r="N144" s="12"/>
    </row>
    <row r="145" spans="1:14" ht="15.5" hidden="1" thickBot="1" x14ac:dyDescent="0.45">
      <c r="A145" s="10" t="s">
        <v>15</v>
      </c>
      <c r="B145" s="23">
        <v>604.75900000000001</v>
      </c>
      <c r="C145" s="24">
        <v>0</v>
      </c>
      <c r="D145" s="24">
        <f t="shared" si="60"/>
        <v>604.75900000000001</v>
      </c>
      <c r="E145" s="25">
        <v>129804.10800230999</v>
      </c>
      <c r="F145" s="23">
        <v>0</v>
      </c>
      <c r="G145" s="24">
        <v>218.01850250999999</v>
      </c>
      <c r="H145" s="24">
        <f t="shared" si="61"/>
        <v>-218.01850250999999</v>
      </c>
      <c r="I145" s="25">
        <v>454.20521354000005</v>
      </c>
      <c r="J145" s="23">
        <f t="shared" si="62"/>
        <v>604.75900000000001</v>
      </c>
      <c r="K145" s="24">
        <f t="shared" si="62"/>
        <v>218.01850250999999</v>
      </c>
      <c r="L145" s="24">
        <f t="shared" si="63"/>
        <v>386.74049749000005</v>
      </c>
      <c r="M145" s="25">
        <v>130258.31321584999</v>
      </c>
      <c r="N145" s="12"/>
    </row>
    <row r="146" spans="1:14" ht="15.5" hidden="1" thickBot="1" x14ac:dyDescent="0.45">
      <c r="A146" s="10" t="s">
        <v>16</v>
      </c>
      <c r="B146" s="23">
        <v>550.23</v>
      </c>
      <c r="C146" s="24">
        <v>0</v>
      </c>
      <c r="D146" s="24">
        <f t="shared" si="60"/>
        <v>550.23</v>
      </c>
      <c r="E146" s="25">
        <v>130354.33800231</v>
      </c>
      <c r="F146" s="23">
        <v>0</v>
      </c>
      <c r="G146" s="24">
        <v>0</v>
      </c>
      <c r="H146" s="24">
        <f t="shared" si="61"/>
        <v>0</v>
      </c>
      <c r="I146" s="25">
        <v>454.20521354000005</v>
      </c>
      <c r="J146" s="23">
        <f t="shared" ref="J146:K148" si="64">F146+B146</f>
        <v>550.23</v>
      </c>
      <c r="K146" s="24">
        <f t="shared" si="64"/>
        <v>0</v>
      </c>
      <c r="L146" s="24">
        <f t="shared" si="63"/>
        <v>550.23</v>
      </c>
      <c r="M146" s="25">
        <v>130808.54321584999</v>
      </c>
      <c r="N146" s="12"/>
    </row>
    <row r="147" spans="1:14" ht="15.5" hidden="1" thickBot="1" x14ac:dyDescent="0.45">
      <c r="A147" s="10" t="s">
        <v>17</v>
      </c>
      <c r="B147" s="23">
        <v>0</v>
      </c>
      <c r="C147" s="24">
        <v>0</v>
      </c>
      <c r="D147" s="24">
        <f t="shared" si="60"/>
        <v>0</v>
      </c>
      <c r="E147" s="25">
        <v>130354.33800231</v>
      </c>
      <c r="F147" s="23">
        <v>0</v>
      </c>
      <c r="G147" s="24">
        <v>0</v>
      </c>
      <c r="H147" s="24">
        <f t="shared" si="61"/>
        <v>0</v>
      </c>
      <c r="I147" s="25">
        <v>454.20521354000005</v>
      </c>
      <c r="J147" s="23">
        <f t="shared" si="64"/>
        <v>0</v>
      </c>
      <c r="K147" s="24">
        <f t="shared" si="64"/>
        <v>0</v>
      </c>
      <c r="L147" s="24">
        <f t="shared" si="63"/>
        <v>0</v>
      </c>
      <c r="M147" s="25">
        <v>130808.54321584999</v>
      </c>
      <c r="N147" s="12"/>
    </row>
    <row r="148" spans="1:14" ht="15.5" hidden="1" thickBot="1" x14ac:dyDescent="0.45">
      <c r="A148" s="10" t="s">
        <v>18</v>
      </c>
      <c r="B148" s="23">
        <v>1100</v>
      </c>
      <c r="C148" s="24">
        <v>0</v>
      </c>
      <c r="D148" s="24">
        <f t="shared" si="60"/>
        <v>1100</v>
      </c>
      <c r="E148" s="25">
        <v>131454.33800230999</v>
      </c>
      <c r="F148" s="23">
        <f>143345668.38/1000000</f>
        <v>143.34566838000001</v>
      </c>
      <c r="G148" s="24">
        <v>0</v>
      </c>
      <c r="H148" s="24">
        <f t="shared" si="61"/>
        <v>143.34566838000001</v>
      </c>
      <c r="I148" s="25">
        <v>597.553</v>
      </c>
      <c r="J148" s="23">
        <f t="shared" si="64"/>
        <v>1243.34566838</v>
      </c>
      <c r="K148" s="24">
        <f t="shared" si="64"/>
        <v>0</v>
      </c>
      <c r="L148" s="24">
        <f t="shared" si="63"/>
        <v>1243.34566838</v>
      </c>
      <c r="M148" s="25">
        <v>132051.88888422999</v>
      </c>
      <c r="N148" s="12"/>
    </row>
    <row r="149" spans="1:14" ht="15.5" hidden="1" thickBot="1" x14ac:dyDescent="0.45">
      <c r="A149" s="11">
        <v>2009</v>
      </c>
      <c r="B149" s="28"/>
      <c r="C149" s="29"/>
      <c r="D149" s="29"/>
      <c r="E149" s="30"/>
      <c r="F149" s="28"/>
      <c r="G149" s="29"/>
      <c r="H149" s="29"/>
      <c r="I149" s="30"/>
      <c r="J149" s="28"/>
      <c r="K149" s="29"/>
      <c r="L149" s="29"/>
      <c r="M149" s="30"/>
      <c r="N149" s="12"/>
    </row>
    <row r="150" spans="1:14" ht="15.5" hidden="1" thickBot="1" x14ac:dyDescent="0.45">
      <c r="A150" s="10" t="s">
        <v>7</v>
      </c>
      <c r="B150" s="23">
        <v>3000</v>
      </c>
      <c r="C150" s="24">
        <v>0</v>
      </c>
      <c r="D150" s="24">
        <f t="shared" ref="D150:D161" si="65">B150-C150</f>
        <v>3000</v>
      </c>
      <c r="E150" s="25">
        <v>134454.33800230999</v>
      </c>
      <c r="F150" s="23">
        <v>0</v>
      </c>
      <c r="G150" s="24">
        <v>0</v>
      </c>
      <c r="H150" s="24">
        <f t="shared" ref="H150:H155" si="66">F150-G150</f>
        <v>0</v>
      </c>
      <c r="I150" s="25">
        <v>597.55088192000005</v>
      </c>
      <c r="J150" s="23">
        <f t="shared" ref="J150:K152" si="67">F150+B150</f>
        <v>3000</v>
      </c>
      <c r="K150" s="24">
        <f t="shared" si="67"/>
        <v>0</v>
      </c>
      <c r="L150" s="24">
        <f t="shared" ref="L150:L155" si="68">J150-K150</f>
        <v>3000</v>
      </c>
      <c r="M150" s="25">
        <v>135051.88888422999</v>
      </c>
    </row>
    <row r="151" spans="1:14" ht="15.5" hidden="1" thickBot="1" x14ac:dyDescent="0.45">
      <c r="A151" s="10" t="s">
        <v>8</v>
      </c>
      <c r="B151" s="23">
        <v>1785.25</v>
      </c>
      <c r="C151" s="24">
        <v>0</v>
      </c>
      <c r="D151" s="24">
        <f t="shared" si="65"/>
        <v>1785.25</v>
      </c>
      <c r="E151" s="25">
        <v>136239.58800230999</v>
      </c>
      <c r="F151" s="23">
        <v>0</v>
      </c>
      <c r="G151" s="24">
        <v>0</v>
      </c>
      <c r="H151" s="24">
        <f t="shared" si="66"/>
        <v>0</v>
      </c>
      <c r="I151" s="25">
        <v>597.55088192000005</v>
      </c>
      <c r="J151" s="23">
        <f t="shared" si="67"/>
        <v>1785.25</v>
      </c>
      <c r="K151" s="24">
        <f t="shared" si="67"/>
        <v>0</v>
      </c>
      <c r="L151" s="24">
        <f t="shared" si="68"/>
        <v>1785.25</v>
      </c>
      <c r="M151" s="25">
        <v>136837.13888422999</v>
      </c>
    </row>
    <row r="152" spans="1:14" ht="15.5" hidden="1" thickBot="1" x14ac:dyDescent="0.45">
      <c r="A152" s="10" t="s">
        <v>9</v>
      </c>
      <c r="B152" s="23">
        <v>1722</v>
      </c>
      <c r="C152" s="24">
        <v>0</v>
      </c>
      <c r="D152" s="24">
        <f t="shared" si="65"/>
        <v>1722</v>
      </c>
      <c r="E152" s="25">
        <v>137961.58800230999</v>
      </c>
      <c r="F152" s="23">
        <v>0</v>
      </c>
      <c r="G152" s="24">
        <v>0</v>
      </c>
      <c r="H152" s="24">
        <f t="shared" si="66"/>
        <v>0</v>
      </c>
      <c r="I152" s="25">
        <v>597.55088192000005</v>
      </c>
      <c r="J152" s="23">
        <f t="shared" si="67"/>
        <v>1722</v>
      </c>
      <c r="K152" s="24">
        <f t="shared" si="67"/>
        <v>0</v>
      </c>
      <c r="L152" s="24">
        <f t="shared" si="68"/>
        <v>1722</v>
      </c>
      <c r="M152" s="25">
        <v>138559.13888423002</v>
      </c>
    </row>
    <row r="153" spans="1:14" ht="15.5" hidden="1" thickBot="1" x14ac:dyDescent="0.45">
      <c r="A153" s="10" t="s">
        <v>10</v>
      </c>
      <c r="B153" s="23">
        <f>886.5+598.592</f>
        <v>1485.0920000000001</v>
      </c>
      <c r="C153" s="24">
        <v>0</v>
      </c>
      <c r="D153" s="24">
        <f t="shared" si="65"/>
        <v>1485.0920000000001</v>
      </c>
      <c r="E153" s="25">
        <v>139446.68000230999</v>
      </c>
      <c r="F153" s="23">
        <v>0</v>
      </c>
      <c r="G153" s="24">
        <v>143.34566838000001</v>
      </c>
      <c r="H153" s="24">
        <f t="shared" si="66"/>
        <v>-143.34566838000001</v>
      </c>
      <c r="I153" s="25">
        <v>454.20521354000005</v>
      </c>
      <c r="J153" s="23">
        <f t="shared" ref="J153:K155" si="69">F153+B153</f>
        <v>1485.0920000000001</v>
      </c>
      <c r="K153" s="24">
        <f t="shared" si="69"/>
        <v>143.34566838000001</v>
      </c>
      <c r="L153" s="24">
        <f t="shared" si="68"/>
        <v>1341.7463316200001</v>
      </c>
      <c r="M153" s="25">
        <v>139900.88521584999</v>
      </c>
    </row>
    <row r="154" spans="1:14" ht="15.5" hidden="1" thickBot="1" x14ac:dyDescent="0.45">
      <c r="A154" s="10" t="s">
        <v>11</v>
      </c>
      <c r="B154" s="23">
        <f>1144.577+963.854+250</f>
        <v>2358.431</v>
      </c>
      <c r="C154" s="24">
        <v>0</v>
      </c>
      <c r="D154" s="24">
        <f t="shared" si="65"/>
        <v>2358.431</v>
      </c>
      <c r="E154" s="25">
        <v>141805.11100231</v>
      </c>
      <c r="F154" s="23">
        <v>0</v>
      </c>
      <c r="G154" s="24">
        <v>0</v>
      </c>
      <c r="H154" s="24">
        <f t="shared" si="66"/>
        <v>0</v>
      </c>
      <c r="I154" s="25">
        <v>454.20521354000005</v>
      </c>
      <c r="J154" s="23">
        <f t="shared" si="69"/>
        <v>2358.431</v>
      </c>
      <c r="K154" s="24">
        <f t="shared" si="69"/>
        <v>0</v>
      </c>
      <c r="L154" s="24">
        <f t="shared" si="68"/>
        <v>2358.431</v>
      </c>
      <c r="M154" s="25">
        <v>142259.31621585001</v>
      </c>
    </row>
    <row r="155" spans="1:14" ht="15.5" hidden="1" thickBot="1" x14ac:dyDescent="0.45">
      <c r="A155" s="10" t="s">
        <v>12</v>
      </c>
      <c r="B155" s="23">
        <f>1016.242+1106.902+2250</f>
        <v>4373.1440000000002</v>
      </c>
      <c r="C155" s="24">
        <v>0</v>
      </c>
      <c r="D155" s="24">
        <f t="shared" si="65"/>
        <v>4373.1440000000002</v>
      </c>
      <c r="E155" s="25">
        <v>146178.25500231</v>
      </c>
      <c r="F155" s="23">
        <v>0</v>
      </c>
      <c r="G155" s="24">
        <v>0</v>
      </c>
      <c r="H155" s="24">
        <f t="shared" si="66"/>
        <v>0</v>
      </c>
      <c r="I155" s="25">
        <v>454.20521354000005</v>
      </c>
      <c r="J155" s="23">
        <f t="shared" si="69"/>
        <v>4373.1440000000002</v>
      </c>
      <c r="K155" s="24">
        <f t="shared" si="69"/>
        <v>0</v>
      </c>
      <c r="L155" s="24">
        <f t="shared" si="68"/>
        <v>4373.1440000000002</v>
      </c>
      <c r="M155" s="25">
        <v>146632.46021585001</v>
      </c>
    </row>
    <row r="156" spans="1:14" ht="15.5" hidden="1" thickBot="1" x14ac:dyDescent="0.45">
      <c r="A156" s="10" t="s">
        <v>13</v>
      </c>
      <c r="B156" s="23">
        <f>839.452+1386.789</f>
        <v>2226.241</v>
      </c>
      <c r="C156" s="24">
        <v>8725.75</v>
      </c>
      <c r="D156" s="24">
        <f t="shared" si="65"/>
        <v>-6499.509</v>
      </c>
      <c r="E156" s="25">
        <v>139678.74600230998</v>
      </c>
      <c r="F156" s="23">
        <v>0</v>
      </c>
      <c r="G156" s="24">
        <v>0</v>
      </c>
      <c r="H156" s="24">
        <f t="shared" ref="H156:H161" si="70">F156-G156</f>
        <v>0</v>
      </c>
      <c r="I156" s="25">
        <v>454.20521354000005</v>
      </c>
      <c r="J156" s="23">
        <f t="shared" ref="J156:K158" si="71">F156+B156</f>
        <v>2226.241</v>
      </c>
      <c r="K156" s="24">
        <f t="shared" si="71"/>
        <v>8725.75</v>
      </c>
      <c r="L156" s="24">
        <f t="shared" ref="L156:L161" si="72">J156-K156</f>
        <v>-6499.509</v>
      </c>
      <c r="M156" s="25">
        <v>140132.95121585001</v>
      </c>
    </row>
    <row r="157" spans="1:14" ht="15.5" hidden="1" thickBot="1" x14ac:dyDescent="0.45">
      <c r="A157" s="10" t="s">
        <v>14</v>
      </c>
      <c r="B157" s="23">
        <f>825.641+825</f>
        <v>1650.6410000000001</v>
      </c>
      <c r="C157" s="24">
        <v>0</v>
      </c>
      <c r="D157" s="24">
        <f t="shared" si="65"/>
        <v>1650.6410000000001</v>
      </c>
      <c r="E157" s="25">
        <v>141329.38700230999</v>
      </c>
      <c r="F157" s="23">
        <v>0</v>
      </c>
      <c r="G157" s="24">
        <v>0</v>
      </c>
      <c r="H157" s="24">
        <f t="shared" si="70"/>
        <v>0</v>
      </c>
      <c r="I157" s="25">
        <v>454.20521354000005</v>
      </c>
      <c r="J157" s="23">
        <f t="shared" si="71"/>
        <v>1650.6410000000001</v>
      </c>
      <c r="K157" s="24">
        <f t="shared" si="71"/>
        <v>0</v>
      </c>
      <c r="L157" s="24">
        <f t="shared" si="72"/>
        <v>1650.6410000000001</v>
      </c>
      <c r="M157" s="25">
        <v>141783.59221585002</v>
      </c>
    </row>
    <row r="158" spans="1:14" ht="15.5" hidden="1" thickBot="1" x14ac:dyDescent="0.45">
      <c r="A158" s="10" t="s">
        <v>15</v>
      </c>
      <c r="B158" s="23">
        <f>830.774+1375</f>
        <v>2205.7739999999999</v>
      </c>
      <c r="C158" s="24">
        <v>0</v>
      </c>
      <c r="D158" s="24">
        <f t="shared" si="65"/>
        <v>2205.7739999999999</v>
      </c>
      <c r="E158" s="25">
        <v>143535.16100230999</v>
      </c>
      <c r="F158" s="23">
        <v>0</v>
      </c>
      <c r="G158" s="24">
        <v>14.535</v>
      </c>
      <c r="H158" s="24">
        <f t="shared" si="70"/>
        <v>-14.535</v>
      </c>
      <c r="I158" s="25">
        <v>439.67064671000009</v>
      </c>
      <c r="J158" s="23">
        <f t="shared" si="71"/>
        <v>2205.7739999999999</v>
      </c>
      <c r="K158" s="24">
        <f t="shared" si="71"/>
        <v>14.535</v>
      </c>
      <c r="L158" s="24">
        <f t="shared" si="72"/>
        <v>2191.239</v>
      </c>
      <c r="M158" s="25">
        <v>143974.83164901999</v>
      </c>
    </row>
    <row r="159" spans="1:14" ht="15.5" hidden="1" thickBot="1" x14ac:dyDescent="0.45">
      <c r="A159" s="10" t="s">
        <v>16</v>
      </c>
      <c r="B159" s="23">
        <f>1441.349+911.731</f>
        <v>2353.08</v>
      </c>
      <c r="C159" s="24">
        <v>0</v>
      </c>
      <c r="D159" s="24">
        <f t="shared" si="65"/>
        <v>2353.08</v>
      </c>
      <c r="E159" s="25">
        <v>145888.24100231001</v>
      </c>
      <c r="F159" s="23">
        <v>0</v>
      </c>
      <c r="G159" s="24">
        <v>0</v>
      </c>
      <c r="H159" s="24">
        <f t="shared" si="70"/>
        <v>0</v>
      </c>
      <c r="I159" s="25">
        <v>439.67064671000009</v>
      </c>
      <c r="J159" s="23">
        <f t="shared" ref="J159:K161" si="73">F159+B159</f>
        <v>2353.08</v>
      </c>
      <c r="K159" s="24">
        <f t="shared" si="73"/>
        <v>0</v>
      </c>
      <c r="L159" s="24">
        <f t="shared" si="72"/>
        <v>2353.08</v>
      </c>
      <c r="M159" s="25">
        <v>146327.91164901998</v>
      </c>
    </row>
    <row r="160" spans="1:14" ht="15.5" hidden="1" thickBot="1" x14ac:dyDescent="0.45">
      <c r="A160" s="10" t="s">
        <v>17</v>
      </c>
      <c r="B160" s="23">
        <v>550</v>
      </c>
      <c r="C160" s="24">
        <v>0</v>
      </c>
      <c r="D160" s="24">
        <f t="shared" si="65"/>
        <v>550</v>
      </c>
      <c r="E160" s="25">
        <v>146438.24100231001</v>
      </c>
      <c r="F160" s="23">
        <v>0</v>
      </c>
      <c r="G160" s="24">
        <v>0</v>
      </c>
      <c r="H160" s="24">
        <f t="shared" si="70"/>
        <v>0</v>
      </c>
      <c r="I160" s="25">
        <v>439.67064671000009</v>
      </c>
      <c r="J160" s="23">
        <f t="shared" si="73"/>
        <v>550</v>
      </c>
      <c r="K160" s="24">
        <f t="shared" si="73"/>
        <v>0</v>
      </c>
      <c r="L160" s="24">
        <f t="shared" si="72"/>
        <v>550</v>
      </c>
      <c r="M160" s="25">
        <v>146877.91164901998</v>
      </c>
    </row>
    <row r="161" spans="1:13" ht="15.5" hidden="1" thickBot="1" x14ac:dyDescent="0.45">
      <c r="A161" s="10" t="s">
        <v>18</v>
      </c>
      <c r="B161" s="23">
        <v>0</v>
      </c>
      <c r="C161" s="24">
        <v>0</v>
      </c>
      <c r="D161" s="24">
        <f t="shared" si="65"/>
        <v>0</v>
      </c>
      <c r="E161" s="25">
        <v>146438.24100231001</v>
      </c>
      <c r="F161" s="23">
        <v>0</v>
      </c>
      <c r="G161" s="24">
        <v>0</v>
      </c>
      <c r="H161" s="24">
        <f t="shared" si="70"/>
        <v>0</v>
      </c>
      <c r="I161" s="25">
        <v>439.67064671000009</v>
      </c>
      <c r="J161" s="23">
        <f t="shared" si="73"/>
        <v>0</v>
      </c>
      <c r="K161" s="24">
        <f t="shared" si="73"/>
        <v>0</v>
      </c>
      <c r="L161" s="24">
        <f t="shared" si="72"/>
        <v>0</v>
      </c>
      <c r="M161" s="25">
        <v>146877.91164901998</v>
      </c>
    </row>
    <row r="162" spans="1:13" ht="15.5" hidden="1" thickBot="1" x14ac:dyDescent="0.45">
      <c r="A162" s="11">
        <v>2010</v>
      </c>
      <c r="B162" s="28"/>
      <c r="C162" s="29"/>
      <c r="D162" s="29"/>
      <c r="E162" s="30"/>
      <c r="F162" s="28"/>
      <c r="G162" s="29"/>
      <c r="H162" s="29"/>
      <c r="I162" s="30"/>
      <c r="J162" s="28"/>
      <c r="K162" s="29"/>
      <c r="L162" s="29"/>
      <c r="M162" s="30"/>
    </row>
    <row r="163" spans="1:13" ht="15.5" hidden="1" thickBot="1" x14ac:dyDescent="0.45">
      <c r="A163" s="10" t="s">
        <v>7</v>
      </c>
      <c r="B163" s="23">
        <v>4000</v>
      </c>
      <c r="C163" s="24">
        <v>8811</v>
      </c>
      <c r="D163" s="24">
        <f t="shared" ref="D163:D171" si="74">B163-C163</f>
        <v>-4811</v>
      </c>
      <c r="E163" s="25">
        <v>141627.24100231001</v>
      </c>
      <c r="F163" s="23">
        <v>0</v>
      </c>
      <c r="G163" s="24">
        <v>0</v>
      </c>
      <c r="H163" s="24">
        <f t="shared" ref="H163:H168" si="75">F163-G163</f>
        <v>0</v>
      </c>
      <c r="I163" s="25">
        <v>439.67064671000009</v>
      </c>
      <c r="J163" s="23">
        <f t="shared" ref="J163:K165" si="76">F163+B163</f>
        <v>4000</v>
      </c>
      <c r="K163" s="24">
        <f t="shared" si="76"/>
        <v>8811</v>
      </c>
      <c r="L163" s="24">
        <f t="shared" ref="L163:L168" si="77">J163-K163</f>
        <v>-4811</v>
      </c>
      <c r="M163" s="25">
        <v>142066.91164901998</v>
      </c>
    </row>
    <row r="164" spans="1:13" ht="15.5" hidden="1" thickBot="1" x14ac:dyDescent="0.45">
      <c r="A164" s="10" t="s">
        <v>8</v>
      </c>
      <c r="B164" s="23">
        <f>825+833.325</f>
        <v>1658.325</v>
      </c>
      <c r="C164" s="24">
        <v>0</v>
      </c>
      <c r="D164" s="24">
        <f t="shared" si="74"/>
        <v>1658.325</v>
      </c>
      <c r="E164" s="25">
        <v>143285.56600230999</v>
      </c>
      <c r="F164" s="23">
        <v>0</v>
      </c>
      <c r="G164" s="24">
        <v>0</v>
      </c>
      <c r="H164" s="24">
        <f t="shared" si="75"/>
        <v>0</v>
      </c>
      <c r="I164" s="25">
        <v>439.67064671000009</v>
      </c>
      <c r="J164" s="23">
        <f t="shared" si="76"/>
        <v>1658.325</v>
      </c>
      <c r="K164" s="24">
        <f t="shared" si="76"/>
        <v>0</v>
      </c>
      <c r="L164" s="24">
        <f t="shared" si="77"/>
        <v>1658.325</v>
      </c>
      <c r="M164" s="25">
        <v>143725.23664901999</v>
      </c>
    </row>
    <row r="165" spans="1:13" ht="15.5" hidden="1" thickBot="1" x14ac:dyDescent="0.45">
      <c r="A165" s="10" t="s">
        <v>9</v>
      </c>
      <c r="B165" s="23">
        <f>785.725+884.6</f>
        <v>1670.325</v>
      </c>
      <c r="C165" s="24">
        <v>0</v>
      </c>
      <c r="D165" s="24">
        <f t="shared" si="74"/>
        <v>1670.325</v>
      </c>
      <c r="E165" s="25">
        <v>144955.89100231</v>
      </c>
      <c r="F165" s="23">
        <v>0</v>
      </c>
      <c r="G165" s="24">
        <v>21.801850250000001</v>
      </c>
      <c r="H165" s="24">
        <f t="shared" si="75"/>
        <v>-21.801850250000001</v>
      </c>
      <c r="I165" s="25">
        <v>417.86879646000011</v>
      </c>
      <c r="J165" s="23">
        <f t="shared" si="76"/>
        <v>1670.325</v>
      </c>
      <c r="K165" s="24">
        <f t="shared" si="76"/>
        <v>21.801850250000001</v>
      </c>
      <c r="L165" s="24">
        <f t="shared" si="77"/>
        <v>1648.5231497500001</v>
      </c>
      <c r="M165" s="25">
        <v>145373.75979876998</v>
      </c>
    </row>
    <row r="166" spans="1:13" ht="15.5" hidden="1" thickBot="1" x14ac:dyDescent="0.45">
      <c r="A166" s="10" t="s">
        <v>10</v>
      </c>
      <c r="B166" s="23">
        <f>300+880+1320</f>
        <v>2500</v>
      </c>
      <c r="C166" s="24">
        <v>0</v>
      </c>
      <c r="D166" s="24">
        <f t="shared" si="74"/>
        <v>2500</v>
      </c>
      <c r="E166" s="25">
        <v>147455.89100231</v>
      </c>
      <c r="F166" s="23">
        <v>0</v>
      </c>
      <c r="G166" s="24">
        <v>0</v>
      </c>
      <c r="H166" s="24">
        <f t="shared" si="75"/>
        <v>0</v>
      </c>
      <c r="I166" s="25">
        <v>417.86879646000011</v>
      </c>
      <c r="J166" s="23">
        <f t="shared" ref="J166:K168" si="78">F166+B166</f>
        <v>2500</v>
      </c>
      <c r="K166" s="24">
        <f t="shared" si="78"/>
        <v>0</v>
      </c>
      <c r="L166" s="24">
        <f t="shared" si="77"/>
        <v>2500</v>
      </c>
      <c r="M166" s="25">
        <v>147873.75979876998</v>
      </c>
    </row>
    <row r="167" spans="1:13" ht="15.5" hidden="1" thickBot="1" x14ac:dyDescent="0.45">
      <c r="A167" s="10" t="s">
        <v>11</v>
      </c>
      <c r="B167" s="23">
        <f>1118.672+1366.665</f>
        <v>2485.337</v>
      </c>
      <c r="C167" s="24">
        <v>0</v>
      </c>
      <c r="D167" s="24">
        <f t="shared" si="74"/>
        <v>2485.337</v>
      </c>
      <c r="E167" s="25">
        <v>149941.22800231</v>
      </c>
      <c r="F167" s="23">
        <v>0</v>
      </c>
      <c r="G167" s="24">
        <v>145.34566834</v>
      </c>
      <c r="H167" s="24">
        <f t="shared" si="75"/>
        <v>-145.34566834</v>
      </c>
      <c r="I167" s="25">
        <v>272.52312812000002</v>
      </c>
      <c r="J167" s="23">
        <f t="shared" si="78"/>
        <v>2485.337</v>
      </c>
      <c r="K167" s="24">
        <f t="shared" si="78"/>
        <v>145.34566834</v>
      </c>
      <c r="L167" s="24">
        <f t="shared" si="77"/>
        <v>2339.99133166</v>
      </c>
      <c r="M167" s="25">
        <v>150213.75113043</v>
      </c>
    </row>
    <row r="168" spans="1:13" ht="15.5" hidden="1" thickBot="1" x14ac:dyDescent="0.45">
      <c r="A168" s="10" t="s">
        <v>12</v>
      </c>
      <c r="B168" s="23">
        <v>1870.4059999999999</v>
      </c>
      <c r="C168" s="24">
        <v>0</v>
      </c>
      <c r="D168" s="24">
        <f t="shared" si="74"/>
        <v>1870.4059999999999</v>
      </c>
      <c r="E168" s="25">
        <v>151811.63400230999</v>
      </c>
      <c r="F168" s="23">
        <v>0</v>
      </c>
      <c r="G168" s="24">
        <v>0</v>
      </c>
      <c r="H168" s="24">
        <f t="shared" si="75"/>
        <v>0</v>
      </c>
      <c r="I168" s="25">
        <v>272.52312812000002</v>
      </c>
      <c r="J168" s="23">
        <f t="shared" si="78"/>
        <v>1870.4059999999999</v>
      </c>
      <c r="K168" s="24">
        <f t="shared" si="78"/>
        <v>0</v>
      </c>
      <c r="L168" s="24">
        <f t="shared" si="77"/>
        <v>1870.4059999999999</v>
      </c>
      <c r="M168" s="25">
        <v>152084.15713042999</v>
      </c>
    </row>
    <row r="169" spans="1:13" ht="15.5" hidden="1" thickBot="1" x14ac:dyDescent="0.45">
      <c r="A169" s="10" t="s">
        <v>13</v>
      </c>
      <c r="B169" s="23">
        <f>550+824.61</f>
        <v>1374.6100000000001</v>
      </c>
      <c r="C169" s="24">
        <v>0</v>
      </c>
      <c r="D169" s="24">
        <f t="shared" si="74"/>
        <v>1374.6100000000001</v>
      </c>
      <c r="E169" s="25">
        <v>153186.24400231001</v>
      </c>
      <c r="F169" s="23">
        <v>0</v>
      </c>
      <c r="G169" s="24">
        <v>14.534566829999999</v>
      </c>
      <c r="H169" s="24">
        <f t="shared" ref="H169:H174" si="79">F169-G169</f>
        <v>-14.534566829999999</v>
      </c>
      <c r="I169" s="25">
        <v>257.98856129000001</v>
      </c>
      <c r="J169" s="23">
        <f t="shared" ref="J169:K171" si="80">F169+B169</f>
        <v>1374.6100000000001</v>
      </c>
      <c r="K169" s="24">
        <f t="shared" si="80"/>
        <v>14.534566829999999</v>
      </c>
      <c r="L169" s="24">
        <f t="shared" ref="L169:L174" si="81">J169-K169</f>
        <v>1360.0754331700002</v>
      </c>
      <c r="M169" s="25">
        <v>153444.2325636</v>
      </c>
    </row>
    <row r="170" spans="1:13" ht="15.5" hidden="1" thickBot="1" x14ac:dyDescent="0.45">
      <c r="A170" s="10" t="s">
        <v>14</v>
      </c>
      <c r="B170" s="23">
        <v>983.19799999999998</v>
      </c>
      <c r="C170" s="24">
        <v>0</v>
      </c>
      <c r="D170" s="24">
        <f t="shared" si="74"/>
        <v>983.19799999999998</v>
      </c>
      <c r="E170" s="25">
        <v>154169.44200231001</v>
      </c>
      <c r="F170" s="23">
        <v>0</v>
      </c>
      <c r="G170" s="24">
        <v>0</v>
      </c>
      <c r="H170" s="24">
        <f t="shared" si="79"/>
        <v>0</v>
      </c>
      <c r="I170" s="25">
        <v>257.98856129000001</v>
      </c>
      <c r="J170" s="23">
        <f t="shared" si="80"/>
        <v>983.19799999999998</v>
      </c>
      <c r="K170" s="24">
        <f t="shared" si="80"/>
        <v>0</v>
      </c>
      <c r="L170" s="24">
        <f t="shared" si="81"/>
        <v>983.19799999999998</v>
      </c>
      <c r="M170" s="25">
        <v>154427.43056360001</v>
      </c>
    </row>
    <row r="171" spans="1:13" ht="15.5" hidden="1" thickBot="1" x14ac:dyDescent="0.45">
      <c r="A171" s="10" t="s">
        <v>15</v>
      </c>
      <c r="B171" s="23">
        <f>789.142+1335.473</f>
        <v>2124.6149999999998</v>
      </c>
      <c r="C171" s="24">
        <v>0</v>
      </c>
      <c r="D171" s="24">
        <f t="shared" si="74"/>
        <v>2124.6149999999998</v>
      </c>
      <c r="E171" s="25">
        <v>156294.05700231</v>
      </c>
      <c r="F171" s="23">
        <v>0</v>
      </c>
      <c r="G171" s="24">
        <v>72.672834170000002</v>
      </c>
      <c r="H171" s="24">
        <f t="shared" si="79"/>
        <v>-72.672834170000002</v>
      </c>
      <c r="I171" s="25">
        <v>185.31572711999999</v>
      </c>
      <c r="J171" s="23">
        <f t="shared" si="80"/>
        <v>2124.6149999999998</v>
      </c>
      <c r="K171" s="24">
        <f t="shared" si="80"/>
        <v>72.672834170000002</v>
      </c>
      <c r="L171" s="24">
        <f t="shared" si="81"/>
        <v>2051.9421658299998</v>
      </c>
      <c r="M171" s="25">
        <v>156479.37272943</v>
      </c>
    </row>
    <row r="172" spans="1:13" ht="15.5" hidden="1" thickBot="1" x14ac:dyDescent="0.45">
      <c r="A172" s="10" t="s">
        <v>16</v>
      </c>
      <c r="B172" s="23">
        <f>880+660</f>
        <v>1540</v>
      </c>
      <c r="C172" s="24">
        <v>0</v>
      </c>
      <c r="D172" s="24">
        <f>B172-C172</f>
        <v>1540</v>
      </c>
      <c r="E172" s="25">
        <v>157834.05700231</v>
      </c>
      <c r="F172" s="23">
        <v>0</v>
      </c>
      <c r="G172" s="24">
        <v>0</v>
      </c>
      <c r="H172" s="24">
        <f t="shared" si="79"/>
        <v>0</v>
      </c>
      <c r="I172" s="25">
        <v>185.31572711999999</v>
      </c>
      <c r="J172" s="23">
        <f t="shared" ref="J172:K174" si="82">F172+B172</f>
        <v>1540</v>
      </c>
      <c r="K172" s="24">
        <f t="shared" si="82"/>
        <v>0</v>
      </c>
      <c r="L172" s="24">
        <f t="shared" si="81"/>
        <v>1540</v>
      </c>
      <c r="M172" s="25">
        <v>158019.37272943</v>
      </c>
    </row>
    <row r="173" spans="1:13" ht="15.5" hidden="1" thickBot="1" x14ac:dyDescent="0.45">
      <c r="A173" s="10" t="s">
        <v>17</v>
      </c>
      <c r="B173" s="23">
        <f>1100</f>
        <v>1100</v>
      </c>
      <c r="C173" s="24">
        <v>0</v>
      </c>
      <c r="D173" s="24">
        <f>B173-C173</f>
        <v>1100</v>
      </c>
      <c r="E173" s="25">
        <v>158934.05700231</v>
      </c>
      <c r="F173" s="23">
        <v>0</v>
      </c>
      <c r="G173" s="24">
        <v>0</v>
      </c>
      <c r="H173" s="24">
        <f t="shared" si="79"/>
        <v>0</v>
      </c>
      <c r="I173" s="25">
        <v>185.31572711999999</v>
      </c>
      <c r="J173" s="23">
        <f t="shared" si="82"/>
        <v>1100</v>
      </c>
      <c r="K173" s="24">
        <f t="shared" si="82"/>
        <v>0</v>
      </c>
      <c r="L173" s="24">
        <f t="shared" si="81"/>
        <v>1100</v>
      </c>
      <c r="M173" s="25">
        <v>159119.37272943</v>
      </c>
    </row>
    <row r="174" spans="1:13" ht="15.5" hidden="1" thickBot="1" x14ac:dyDescent="0.45">
      <c r="A174" s="10" t="s">
        <v>18</v>
      </c>
      <c r="B174" s="23">
        <v>0</v>
      </c>
      <c r="C174" s="24">
        <v>0</v>
      </c>
      <c r="D174" s="24">
        <f>B174-C174</f>
        <v>0</v>
      </c>
      <c r="E174" s="25">
        <v>158934.05700231</v>
      </c>
      <c r="F174" s="23">
        <v>0</v>
      </c>
      <c r="G174" s="24">
        <v>0</v>
      </c>
      <c r="H174" s="24">
        <f t="shared" si="79"/>
        <v>0</v>
      </c>
      <c r="I174" s="25">
        <v>185.31572711999999</v>
      </c>
      <c r="J174" s="23">
        <f t="shared" si="82"/>
        <v>0</v>
      </c>
      <c r="K174" s="24">
        <f t="shared" si="82"/>
        <v>0</v>
      </c>
      <c r="L174" s="24">
        <f t="shared" si="81"/>
        <v>0</v>
      </c>
      <c r="M174" s="25">
        <v>159119.37272943</v>
      </c>
    </row>
    <row r="175" spans="1:13" ht="15.5" hidden="1" thickBot="1" x14ac:dyDescent="0.45">
      <c r="A175" s="11">
        <v>2011</v>
      </c>
      <c r="B175" s="28"/>
      <c r="C175" s="29"/>
      <c r="D175" s="29"/>
      <c r="E175" s="30"/>
      <c r="F175" s="28"/>
      <c r="G175" s="29"/>
      <c r="H175" s="29"/>
      <c r="I175" s="30"/>
      <c r="J175" s="28"/>
      <c r="K175" s="29"/>
      <c r="L175" s="29"/>
      <c r="M175" s="30"/>
    </row>
    <row r="176" spans="1:13" ht="15.5" hidden="1" thickBot="1" x14ac:dyDescent="0.45">
      <c r="A176" s="10" t="s">
        <v>7</v>
      </c>
      <c r="B176" s="23">
        <v>4000</v>
      </c>
      <c r="C176" s="24">
        <v>8268.1929999999993</v>
      </c>
      <c r="D176" s="24">
        <f t="shared" ref="D176:D181" si="83">B176-C176</f>
        <v>-4268.1929999999993</v>
      </c>
      <c r="E176" s="25">
        <v>154665.86400231</v>
      </c>
      <c r="F176" s="23">
        <v>0</v>
      </c>
      <c r="G176" s="24">
        <v>0</v>
      </c>
      <c r="H176" s="24">
        <f t="shared" ref="H176:H181" si="84">F176-G176</f>
        <v>0</v>
      </c>
      <c r="I176" s="25">
        <v>185.31572711999999</v>
      </c>
      <c r="J176" s="23">
        <f t="shared" ref="J176:K178" si="85">F176+B176</f>
        <v>4000</v>
      </c>
      <c r="K176" s="24">
        <f t="shared" si="85"/>
        <v>8268.1929999999993</v>
      </c>
      <c r="L176" s="24">
        <f t="shared" ref="L176:L181" si="86">J176-K176</f>
        <v>-4268.1929999999993</v>
      </c>
      <c r="M176" s="25">
        <v>154851.17972943</v>
      </c>
    </row>
    <row r="177" spans="1:13" ht="15.5" hidden="1" thickBot="1" x14ac:dyDescent="0.45">
      <c r="A177" s="10" t="s">
        <v>8</v>
      </c>
      <c r="B177" s="23">
        <f>704.804+935</f>
        <v>1639.8040000000001</v>
      </c>
      <c r="C177" s="24">
        <v>0</v>
      </c>
      <c r="D177" s="24">
        <f t="shared" si="83"/>
        <v>1639.8040000000001</v>
      </c>
      <c r="E177" s="25">
        <v>156341.66800231001</v>
      </c>
      <c r="F177" s="23">
        <v>0</v>
      </c>
      <c r="G177" s="24">
        <v>0</v>
      </c>
      <c r="H177" s="24">
        <f t="shared" si="84"/>
        <v>0</v>
      </c>
      <c r="I177" s="25">
        <v>185.31572711999999</v>
      </c>
      <c r="J177" s="23">
        <f t="shared" si="85"/>
        <v>1639.8040000000001</v>
      </c>
      <c r="K177" s="24">
        <f t="shared" si="85"/>
        <v>0</v>
      </c>
      <c r="L177" s="24">
        <f t="shared" si="86"/>
        <v>1639.8040000000001</v>
      </c>
      <c r="M177" s="25">
        <v>156526.98372942998</v>
      </c>
    </row>
    <row r="178" spans="1:13" ht="15.5" hidden="1" thickBot="1" x14ac:dyDescent="0.45">
      <c r="A178" s="10" t="s">
        <v>9</v>
      </c>
      <c r="B178" s="23">
        <f>693.922+660</f>
        <v>1353.922</v>
      </c>
      <c r="C178" s="24">
        <v>0</v>
      </c>
      <c r="D178" s="24">
        <f t="shared" si="83"/>
        <v>1353.922</v>
      </c>
      <c r="E178" s="25">
        <v>157695.59000231</v>
      </c>
      <c r="F178" s="23">
        <v>0</v>
      </c>
      <c r="G178" s="24">
        <v>0</v>
      </c>
      <c r="H178" s="24">
        <f t="shared" si="84"/>
        <v>0</v>
      </c>
      <c r="I178" s="25">
        <v>185.31572711999999</v>
      </c>
      <c r="J178" s="23">
        <f t="shared" si="85"/>
        <v>1353.922</v>
      </c>
      <c r="K178" s="24">
        <f t="shared" si="85"/>
        <v>0</v>
      </c>
      <c r="L178" s="24">
        <f t="shared" si="86"/>
        <v>1353.922</v>
      </c>
      <c r="M178" s="25">
        <v>157880.90572943</v>
      </c>
    </row>
    <row r="179" spans="1:13" ht="15.5" hidden="1" thickBot="1" x14ac:dyDescent="0.45">
      <c r="A179" s="10" t="s">
        <v>10</v>
      </c>
      <c r="B179" s="23">
        <f>880+770</f>
        <v>1650</v>
      </c>
      <c r="C179" s="24">
        <v>0</v>
      </c>
      <c r="D179" s="24">
        <f t="shared" si="83"/>
        <v>1650</v>
      </c>
      <c r="E179" s="25">
        <v>159345.59000231</v>
      </c>
      <c r="F179" s="23">
        <v>0</v>
      </c>
      <c r="G179" s="24">
        <v>145.34566833000002</v>
      </c>
      <c r="H179" s="24">
        <f t="shared" si="84"/>
        <v>-145.34566833000002</v>
      </c>
      <c r="I179" s="25">
        <v>39.970058789999996</v>
      </c>
      <c r="J179" s="23">
        <f t="shared" ref="J179:K181" si="87">F179+B179</f>
        <v>1650</v>
      </c>
      <c r="K179" s="24">
        <f t="shared" si="87"/>
        <v>145.34566833000002</v>
      </c>
      <c r="L179" s="24">
        <f t="shared" si="86"/>
        <v>1504.6543316699999</v>
      </c>
      <c r="M179" s="25">
        <v>159385.5600611</v>
      </c>
    </row>
    <row r="180" spans="1:13" ht="15.5" hidden="1" thickBot="1" x14ac:dyDescent="0.45">
      <c r="A180" s="10" t="s">
        <v>11</v>
      </c>
      <c r="B180" s="23">
        <f>660+660</f>
        <v>1320</v>
      </c>
      <c r="C180" s="24">
        <v>0</v>
      </c>
      <c r="D180" s="24">
        <f t="shared" si="83"/>
        <v>1320</v>
      </c>
      <c r="E180" s="25">
        <v>160665.59000231</v>
      </c>
      <c r="F180" s="23">
        <v>0</v>
      </c>
      <c r="G180" s="24">
        <v>0</v>
      </c>
      <c r="H180" s="24">
        <f t="shared" si="84"/>
        <v>0</v>
      </c>
      <c r="I180" s="25">
        <v>39.970058789999996</v>
      </c>
      <c r="J180" s="23">
        <f t="shared" si="87"/>
        <v>1320</v>
      </c>
      <c r="K180" s="24">
        <f t="shared" si="87"/>
        <v>0</v>
      </c>
      <c r="L180" s="24">
        <f t="shared" si="86"/>
        <v>1320</v>
      </c>
      <c r="M180" s="25">
        <v>160705.5600611</v>
      </c>
    </row>
    <row r="181" spans="1:13" ht="15.5" hidden="1" thickBot="1" x14ac:dyDescent="0.45">
      <c r="A181" s="10" t="s">
        <v>12</v>
      </c>
      <c r="B181" s="23">
        <f>880+880</f>
        <v>1760</v>
      </c>
      <c r="C181" s="24">
        <v>0</v>
      </c>
      <c r="D181" s="24">
        <f t="shared" si="83"/>
        <v>1760</v>
      </c>
      <c r="E181" s="25">
        <v>162425.59000231</v>
      </c>
      <c r="F181" s="23">
        <v>0</v>
      </c>
      <c r="G181" s="24">
        <v>0</v>
      </c>
      <c r="H181" s="24">
        <f t="shared" si="84"/>
        <v>0</v>
      </c>
      <c r="I181" s="25">
        <v>39.970058789999996</v>
      </c>
      <c r="J181" s="23">
        <f t="shared" si="87"/>
        <v>1760</v>
      </c>
      <c r="K181" s="24">
        <f t="shared" si="87"/>
        <v>0</v>
      </c>
      <c r="L181" s="24">
        <f t="shared" si="86"/>
        <v>1760</v>
      </c>
      <c r="M181" s="25">
        <v>162465.5600611</v>
      </c>
    </row>
    <row r="182" spans="1:13" ht="15.5" hidden="1" thickBot="1" x14ac:dyDescent="0.45">
      <c r="A182" s="10" t="s">
        <v>13</v>
      </c>
      <c r="B182" s="23">
        <f>790.097+894.54</f>
        <v>1684.6369999999999</v>
      </c>
      <c r="C182" s="24">
        <v>0</v>
      </c>
      <c r="D182" s="24">
        <f t="shared" ref="D182:D187" si="88">B182-C182</f>
        <v>1684.6369999999999</v>
      </c>
      <c r="E182" s="25">
        <v>164110.22700230998</v>
      </c>
      <c r="F182" s="23">
        <v>0</v>
      </c>
      <c r="G182" s="24">
        <v>0</v>
      </c>
      <c r="H182" s="24">
        <f t="shared" ref="H182:H187" si="89">F182-G182</f>
        <v>0</v>
      </c>
      <c r="I182" s="25">
        <v>39.970058789999996</v>
      </c>
      <c r="J182" s="23">
        <f t="shared" ref="J182:K184" si="90">F182+B182</f>
        <v>1684.6369999999999</v>
      </c>
      <c r="K182" s="24">
        <f t="shared" si="90"/>
        <v>0</v>
      </c>
      <c r="L182" s="24">
        <f t="shared" ref="L182:L187" si="91">J182-K182</f>
        <v>1684.6369999999999</v>
      </c>
      <c r="M182" s="25">
        <v>164150.19706110001</v>
      </c>
    </row>
    <row r="183" spans="1:13" ht="15.5" hidden="1" thickBot="1" x14ac:dyDescent="0.45">
      <c r="A183" s="10" t="s">
        <v>14</v>
      </c>
      <c r="B183" s="23">
        <v>0</v>
      </c>
      <c r="C183" s="24">
        <v>0</v>
      </c>
      <c r="D183" s="24">
        <f t="shared" si="88"/>
        <v>0</v>
      </c>
      <c r="E183" s="25">
        <v>164110.22700230998</v>
      </c>
      <c r="F183" s="23">
        <v>0</v>
      </c>
      <c r="G183" s="24">
        <v>0</v>
      </c>
      <c r="H183" s="24">
        <f t="shared" si="89"/>
        <v>0</v>
      </c>
      <c r="I183" s="25">
        <v>39.970058789999996</v>
      </c>
      <c r="J183" s="23">
        <f t="shared" si="90"/>
        <v>0</v>
      </c>
      <c r="K183" s="24">
        <f t="shared" si="90"/>
        <v>0</v>
      </c>
      <c r="L183" s="24">
        <f t="shared" si="91"/>
        <v>0</v>
      </c>
      <c r="M183" s="25">
        <v>164150.19706110001</v>
      </c>
    </row>
    <row r="184" spans="1:13" ht="15.5" hidden="1" thickBot="1" x14ac:dyDescent="0.45">
      <c r="A184" s="10" t="s">
        <v>15</v>
      </c>
      <c r="B184" s="23">
        <f>724.969+660+200</f>
        <v>1584.9690000000001</v>
      </c>
      <c r="C184" s="24">
        <v>0</v>
      </c>
      <c r="D184" s="24">
        <f t="shared" si="88"/>
        <v>1584.9690000000001</v>
      </c>
      <c r="E184" s="25">
        <v>165695.19600231</v>
      </c>
      <c r="F184" s="23">
        <v>0</v>
      </c>
      <c r="G184" s="24">
        <v>0</v>
      </c>
      <c r="H184" s="24">
        <f t="shared" si="89"/>
        <v>0</v>
      </c>
      <c r="I184" s="25">
        <v>39.970058789999996</v>
      </c>
      <c r="J184" s="23">
        <f t="shared" si="90"/>
        <v>1584.9690000000001</v>
      </c>
      <c r="K184" s="24">
        <f t="shared" si="90"/>
        <v>0</v>
      </c>
      <c r="L184" s="24">
        <f t="shared" si="91"/>
        <v>1584.9690000000001</v>
      </c>
      <c r="M184" s="25">
        <v>165735.1660611</v>
      </c>
    </row>
    <row r="185" spans="1:13" ht="15.5" hidden="1" thickBot="1" x14ac:dyDescent="0.45">
      <c r="A185" s="10" t="s">
        <v>16</v>
      </c>
      <c r="B185" s="23">
        <f>440+660</f>
        <v>1100</v>
      </c>
      <c r="C185" s="24">
        <v>0</v>
      </c>
      <c r="D185" s="24">
        <f t="shared" si="88"/>
        <v>1100</v>
      </c>
      <c r="E185" s="25">
        <v>166795.19600231</v>
      </c>
      <c r="F185" s="23">
        <v>0</v>
      </c>
      <c r="G185" s="24">
        <v>0</v>
      </c>
      <c r="H185" s="24">
        <f t="shared" si="89"/>
        <v>0</v>
      </c>
      <c r="I185" s="25">
        <v>39.970058789999996</v>
      </c>
      <c r="J185" s="23">
        <f t="shared" ref="J185:K187" si="92">F185+B185</f>
        <v>1100</v>
      </c>
      <c r="K185" s="24">
        <f t="shared" si="92"/>
        <v>0</v>
      </c>
      <c r="L185" s="24">
        <f t="shared" si="91"/>
        <v>1100</v>
      </c>
      <c r="M185" s="25">
        <v>166835.1660611</v>
      </c>
    </row>
    <row r="186" spans="1:13" ht="15.5" hidden="1" thickBot="1" x14ac:dyDescent="0.45">
      <c r="A186" s="10" t="s">
        <v>17</v>
      </c>
      <c r="B186" s="23">
        <f>719.262+556.818</f>
        <v>1276.08</v>
      </c>
      <c r="C186" s="24">
        <v>0</v>
      </c>
      <c r="D186" s="24">
        <f t="shared" si="88"/>
        <v>1276.08</v>
      </c>
      <c r="E186" s="25">
        <v>168071.27600230998</v>
      </c>
      <c r="F186" s="23">
        <v>0</v>
      </c>
      <c r="G186" s="24">
        <v>0</v>
      </c>
      <c r="H186" s="24">
        <f t="shared" si="89"/>
        <v>0</v>
      </c>
      <c r="I186" s="25">
        <v>39.970058789999996</v>
      </c>
      <c r="J186" s="23">
        <f t="shared" si="92"/>
        <v>1276.08</v>
      </c>
      <c r="K186" s="24">
        <f t="shared" si="92"/>
        <v>0</v>
      </c>
      <c r="L186" s="24">
        <f t="shared" si="91"/>
        <v>1276.08</v>
      </c>
      <c r="M186" s="25">
        <v>168111.24606110001</v>
      </c>
    </row>
    <row r="187" spans="1:13" ht="15.5" hidden="1" thickBot="1" x14ac:dyDescent="0.45">
      <c r="A187" s="10" t="s">
        <v>18</v>
      </c>
      <c r="B187" s="23">
        <v>0</v>
      </c>
      <c r="C187" s="24">
        <v>0</v>
      </c>
      <c r="D187" s="24">
        <f t="shared" si="88"/>
        <v>0</v>
      </c>
      <c r="E187" s="25">
        <v>168071.27600230998</v>
      </c>
      <c r="F187" s="23">
        <v>0</v>
      </c>
      <c r="G187" s="24">
        <v>0</v>
      </c>
      <c r="H187" s="24">
        <f t="shared" si="89"/>
        <v>0</v>
      </c>
      <c r="I187" s="25">
        <v>39.970058789999996</v>
      </c>
      <c r="J187" s="23">
        <f t="shared" si="92"/>
        <v>0</v>
      </c>
      <c r="K187" s="24">
        <f t="shared" si="92"/>
        <v>0</v>
      </c>
      <c r="L187" s="24">
        <f t="shared" si="91"/>
        <v>0</v>
      </c>
      <c r="M187" s="25">
        <v>168111.24606110001</v>
      </c>
    </row>
    <row r="188" spans="1:13" ht="15.5" hidden="1" thickBot="1" x14ac:dyDescent="0.45">
      <c r="A188" s="11">
        <v>2012</v>
      </c>
      <c r="B188" s="28"/>
      <c r="C188" s="29"/>
      <c r="D188" s="29"/>
      <c r="E188" s="30"/>
      <c r="F188" s="28"/>
      <c r="G188" s="29"/>
      <c r="H188" s="29"/>
      <c r="I188" s="30"/>
      <c r="J188" s="28"/>
      <c r="K188" s="29"/>
      <c r="L188" s="29"/>
      <c r="M188" s="30"/>
    </row>
    <row r="189" spans="1:13" ht="15.5" hidden="1" thickBot="1" x14ac:dyDescent="0.45">
      <c r="A189" s="10" t="s">
        <v>7</v>
      </c>
      <c r="B189" s="23">
        <f>741.152+728.725+5000</f>
        <v>6469.8770000000004</v>
      </c>
      <c r="C189" s="24">
        <v>0</v>
      </c>
      <c r="D189" s="24">
        <f t="shared" ref="D189:D202" si="93">B189-C189</f>
        <v>6469.8770000000004</v>
      </c>
      <c r="E189" s="25">
        <v>174541.15300230999</v>
      </c>
      <c r="F189" s="23">
        <v>0</v>
      </c>
      <c r="G189" s="24">
        <v>0</v>
      </c>
      <c r="H189" s="24">
        <f t="shared" ref="H189:H194" si="94">F189-G189</f>
        <v>0</v>
      </c>
      <c r="I189" s="25">
        <v>39.970058789999996</v>
      </c>
      <c r="J189" s="23">
        <f t="shared" ref="J189:K191" si="95">F189+B189</f>
        <v>6469.8770000000004</v>
      </c>
      <c r="K189" s="24">
        <f t="shared" si="95"/>
        <v>0</v>
      </c>
      <c r="L189" s="24">
        <f t="shared" ref="L189:L194" si="96">J189-K189</f>
        <v>6469.8770000000004</v>
      </c>
      <c r="M189" s="25">
        <v>174581.12306109999</v>
      </c>
    </row>
    <row r="190" spans="1:13" ht="15.5" hidden="1" thickBot="1" x14ac:dyDescent="0.45">
      <c r="A190" s="10" t="s">
        <v>8</v>
      </c>
      <c r="B190" s="23">
        <v>0</v>
      </c>
      <c r="C190" s="24">
        <v>0</v>
      </c>
      <c r="D190" s="24">
        <f t="shared" si="93"/>
        <v>0</v>
      </c>
      <c r="E190" s="25">
        <v>174541.15300230999</v>
      </c>
      <c r="F190" s="23">
        <v>0</v>
      </c>
      <c r="G190" s="24">
        <v>0</v>
      </c>
      <c r="H190" s="24">
        <f t="shared" si="94"/>
        <v>0</v>
      </c>
      <c r="I190" s="25">
        <v>39.970058789999996</v>
      </c>
      <c r="J190" s="23">
        <f t="shared" si="95"/>
        <v>0</v>
      </c>
      <c r="K190" s="24">
        <f t="shared" si="95"/>
        <v>0</v>
      </c>
      <c r="L190" s="24">
        <f t="shared" si="96"/>
        <v>0</v>
      </c>
      <c r="M190" s="25">
        <v>174581.12306109999</v>
      </c>
    </row>
    <row r="191" spans="1:13" ht="15.5" hidden="1" thickBot="1" x14ac:dyDescent="0.45">
      <c r="A191" s="10" t="s">
        <v>9</v>
      </c>
      <c r="B191" s="23">
        <v>1100</v>
      </c>
      <c r="C191" s="24">
        <v>0</v>
      </c>
      <c r="D191" s="24">
        <f t="shared" si="93"/>
        <v>1100</v>
      </c>
      <c r="E191" s="25">
        <v>175641.15300230999</v>
      </c>
      <c r="F191" s="23">
        <v>0</v>
      </c>
      <c r="G191" s="24">
        <v>0</v>
      </c>
      <c r="H191" s="24">
        <f t="shared" si="94"/>
        <v>0</v>
      </c>
      <c r="I191" s="25">
        <v>39.970058789999996</v>
      </c>
      <c r="J191" s="23">
        <f t="shared" si="95"/>
        <v>1100</v>
      </c>
      <c r="K191" s="24">
        <f t="shared" si="95"/>
        <v>0</v>
      </c>
      <c r="L191" s="24">
        <f t="shared" si="96"/>
        <v>1100</v>
      </c>
      <c r="M191" s="25">
        <v>175681.12306109999</v>
      </c>
    </row>
    <row r="192" spans="1:13" ht="15.5" hidden="1" thickBot="1" x14ac:dyDescent="0.45">
      <c r="A192" s="10" t="s">
        <v>10</v>
      </c>
      <c r="B192" s="23">
        <f>605+715</f>
        <v>1320</v>
      </c>
      <c r="C192" s="24">
        <v>0</v>
      </c>
      <c r="D192" s="24">
        <f t="shared" si="93"/>
        <v>1320</v>
      </c>
      <c r="E192" s="25">
        <v>176961.15300230999</v>
      </c>
      <c r="F192" s="23">
        <v>0</v>
      </c>
      <c r="G192" s="24">
        <v>0</v>
      </c>
      <c r="H192" s="24">
        <f t="shared" si="94"/>
        <v>0</v>
      </c>
      <c r="I192" s="25">
        <v>39.970058789999996</v>
      </c>
      <c r="J192" s="23">
        <f t="shared" ref="J192:K194" si="97">F192+B192</f>
        <v>1320</v>
      </c>
      <c r="K192" s="24">
        <f t="shared" si="97"/>
        <v>0</v>
      </c>
      <c r="L192" s="24">
        <f t="shared" si="96"/>
        <v>1320</v>
      </c>
      <c r="M192" s="25">
        <v>177001.12306109999</v>
      </c>
    </row>
    <row r="193" spans="1:13" ht="15.5" hidden="1" thickBot="1" x14ac:dyDescent="0.45">
      <c r="A193" s="10" t="s">
        <v>11</v>
      </c>
      <c r="B193" s="23">
        <f>550+660</f>
        <v>1210</v>
      </c>
      <c r="C193" s="24">
        <v>0</v>
      </c>
      <c r="D193" s="24">
        <f t="shared" si="93"/>
        <v>1210</v>
      </c>
      <c r="E193" s="25">
        <v>178171.15300230999</v>
      </c>
      <c r="F193" s="23">
        <v>0</v>
      </c>
      <c r="G193" s="24">
        <v>0</v>
      </c>
      <c r="H193" s="24">
        <f t="shared" si="94"/>
        <v>0</v>
      </c>
      <c r="I193" s="25">
        <v>39.970058789999996</v>
      </c>
      <c r="J193" s="23">
        <f t="shared" si="97"/>
        <v>1210</v>
      </c>
      <c r="K193" s="24">
        <f t="shared" si="97"/>
        <v>0</v>
      </c>
      <c r="L193" s="24">
        <f t="shared" si="96"/>
        <v>1210</v>
      </c>
      <c r="M193" s="25">
        <v>178211.12306109999</v>
      </c>
    </row>
    <row r="194" spans="1:13" ht="15.5" hidden="1" thickBot="1" x14ac:dyDescent="0.45">
      <c r="A194" s="10" t="s">
        <v>12</v>
      </c>
      <c r="B194" s="23">
        <f>440+660</f>
        <v>1100</v>
      </c>
      <c r="C194" s="24">
        <v>0</v>
      </c>
      <c r="D194" s="24">
        <f t="shared" si="93"/>
        <v>1100</v>
      </c>
      <c r="E194" s="25">
        <v>179271.15300230999</v>
      </c>
      <c r="F194" s="23">
        <v>0</v>
      </c>
      <c r="G194" s="24">
        <v>0</v>
      </c>
      <c r="H194" s="24">
        <f t="shared" si="94"/>
        <v>0</v>
      </c>
      <c r="I194" s="25">
        <v>39.970058789999996</v>
      </c>
      <c r="J194" s="23">
        <f t="shared" si="97"/>
        <v>1100</v>
      </c>
      <c r="K194" s="24">
        <f t="shared" si="97"/>
        <v>0</v>
      </c>
      <c r="L194" s="24">
        <f t="shared" si="96"/>
        <v>1100</v>
      </c>
      <c r="M194" s="25">
        <v>179311.12306109999</v>
      </c>
    </row>
    <row r="195" spans="1:13" ht="15.5" hidden="1" thickBot="1" x14ac:dyDescent="0.45">
      <c r="A195" s="10" t="s">
        <v>13</v>
      </c>
      <c r="B195" s="23">
        <v>5000</v>
      </c>
      <c r="C195" s="24">
        <v>10177.384</v>
      </c>
      <c r="D195" s="24">
        <f t="shared" si="93"/>
        <v>-5177.384</v>
      </c>
      <c r="E195" s="25">
        <v>174093.76900231</v>
      </c>
      <c r="F195" s="23">
        <v>0</v>
      </c>
      <c r="G195" s="24">
        <v>0</v>
      </c>
      <c r="H195" s="24">
        <f t="shared" ref="H195:H200" si="98">F195-G195</f>
        <v>0</v>
      </c>
      <c r="I195" s="25">
        <v>39.970058789999996</v>
      </c>
      <c r="J195" s="23">
        <f t="shared" ref="J195:K198" si="99">F195+B195</f>
        <v>5000</v>
      </c>
      <c r="K195" s="24">
        <f t="shared" si="99"/>
        <v>10177.384</v>
      </c>
      <c r="L195" s="24">
        <f t="shared" ref="L195:L200" si="100">J195-K195</f>
        <v>-5177.384</v>
      </c>
      <c r="M195" s="25">
        <v>174133.7390611</v>
      </c>
    </row>
    <row r="196" spans="1:13" ht="15.5" hidden="1" thickBot="1" x14ac:dyDescent="0.45">
      <c r="A196" s="10" t="s">
        <v>14</v>
      </c>
      <c r="B196" s="23">
        <v>0</v>
      </c>
      <c r="C196" s="24">
        <v>0</v>
      </c>
      <c r="D196" s="24">
        <f t="shared" si="93"/>
        <v>0</v>
      </c>
      <c r="E196" s="25">
        <v>174093.76900231</v>
      </c>
      <c r="F196" s="23">
        <v>0</v>
      </c>
      <c r="G196" s="24">
        <v>0</v>
      </c>
      <c r="H196" s="24">
        <f t="shared" si="98"/>
        <v>0</v>
      </c>
      <c r="I196" s="25">
        <v>39.970058789999996</v>
      </c>
      <c r="J196" s="23">
        <f t="shared" si="99"/>
        <v>0</v>
      </c>
      <c r="K196" s="24">
        <f t="shared" si="99"/>
        <v>0</v>
      </c>
      <c r="L196" s="24">
        <f t="shared" si="100"/>
        <v>0</v>
      </c>
      <c r="M196" s="25">
        <v>174133.7390611</v>
      </c>
    </row>
    <row r="197" spans="1:13" ht="15.5" hidden="1" thickBot="1" x14ac:dyDescent="0.45">
      <c r="A197" s="10" t="s">
        <v>15</v>
      </c>
      <c r="B197" s="23">
        <f>660+550</f>
        <v>1210</v>
      </c>
      <c r="C197" s="24">
        <v>0</v>
      </c>
      <c r="D197" s="24">
        <f t="shared" si="93"/>
        <v>1210</v>
      </c>
      <c r="E197" s="25">
        <v>175303.76900231</v>
      </c>
      <c r="F197" s="23">
        <v>0</v>
      </c>
      <c r="G197" s="24">
        <v>0</v>
      </c>
      <c r="H197" s="24">
        <f t="shared" si="98"/>
        <v>0</v>
      </c>
      <c r="I197" s="25">
        <v>39.970058789999996</v>
      </c>
      <c r="J197" s="23">
        <f t="shared" si="99"/>
        <v>1210</v>
      </c>
      <c r="K197" s="24">
        <f t="shared" si="99"/>
        <v>0</v>
      </c>
      <c r="L197" s="24">
        <f t="shared" si="100"/>
        <v>1210</v>
      </c>
      <c r="M197" s="25">
        <v>175343.7390611</v>
      </c>
    </row>
    <row r="198" spans="1:13" ht="15.5" hidden="1" thickBot="1" x14ac:dyDescent="0.45">
      <c r="A198" s="10" t="s">
        <v>16</v>
      </c>
      <c r="B198" s="23">
        <f>773.3+550.976</f>
        <v>1324.2759999999998</v>
      </c>
      <c r="C198" s="24">
        <v>0</v>
      </c>
      <c r="D198" s="24">
        <f t="shared" si="93"/>
        <v>1324.2759999999998</v>
      </c>
      <c r="E198" s="25">
        <v>176628.04500230998</v>
      </c>
      <c r="F198" s="23">
        <v>0</v>
      </c>
      <c r="G198" s="24">
        <v>0</v>
      </c>
      <c r="H198" s="24">
        <f t="shared" si="98"/>
        <v>0</v>
      </c>
      <c r="I198" s="25">
        <v>39.970058789999996</v>
      </c>
      <c r="J198" s="23">
        <f t="shared" si="99"/>
        <v>1324.2759999999998</v>
      </c>
      <c r="K198" s="24">
        <f t="shared" si="99"/>
        <v>0</v>
      </c>
      <c r="L198" s="24">
        <f t="shared" si="100"/>
        <v>1324.2759999999998</v>
      </c>
      <c r="M198" s="25">
        <v>176668.01506110001</v>
      </c>
    </row>
    <row r="199" spans="1:13" ht="15.5" hidden="1" thickBot="1" x14ac:dyDescent="0.45">
      <c r="A199" s="10" t="s">
        <v>17</v>
      </c>
      <c r="B199" s="23">
        <f>714.658+702.945</f>
        <v>1417.6030000000001</v>
      </c>
      <c r="C199" s="24">
        <v>0</v>
      </c>
      <c r="D199" s="24">
        <f t="shared" si="93"/>
        <v>1417.6030000000001</v>
      </c>
      <c r="E199" s="25">
        <v>178045.64800230999</v>
      </c>
      <c r="F199" s="23">
        <v>0</v>
      </c>
      <c r="G199" s="24">
        <v>0</v>
      </c>
      <c r="H199" s="24">
        <f t="shared" si="98"/>
        <v>0</v>
      </c>
      <c r="I199" s="25">
        <v>39.970058789999996</v>
      </c>
      <c r="J199" s="23">
        <f>F199+B199</f>
        <v>1417.6030000000001</v>
      </c>
      <c r="K199" s="24">
        <f>G199+C199</f>
        <v>0</v>
      </c>
      <c r="L199" s="24">
        <f t="shared" si="100"/>
        <v>1417.6030000000001</v>
      </c>
      <c r="M199" s="25">
        <v>178085.61806110002</v>
      </c>
    </row>
    <row r="200" spans="1:13" ht="15.5" hidden="1" thickBot="1" x14ac:dyDescent="0.45">
      <c r="A200" s="10" t="s">
        <v>18</v>
      </c>
      <c r="B200" s="23">
        <v>1100</v>
      </c>
      <c r="C200" s="24">
        <v>0</v>
      </c>
      <c r="D200" s="24">
        <f t="shared" si="93"/>
        <v>1100</v>
      </c>
      <c r="E200" s="25">
        <v>179145.64800230999</v>
      </c>
      <c r="F200" s="23">
        <v>0</v>
      </c>
      <c r="G200" s="24">
        <v>0</v>
      </c>
      <c r="H200" s="24">
        <f t="shared" si="98"/>
        <v>0</v>
      </c>
      <c r="I200" s="25">
        <v>39.970058789999996</v>
      </c>
      <c r="J200" s="23">
        <f>F200+B200</f>
        <v>1100</v>
      </c>
      <c r="K200" s="24">
        <f>G200+C200</f>
        <v>0</v>
      </c>
      <c r="L200" s="24">
        <f t="shared" si="100"/>
        <v>1100</v>
      </c>
      <c r="M200" s="25">
        <v>179185.61806110002</v>
      </c>
    </row>
    <row r="201" spans="1:13" ht="15.5" hidden="1" thickBot="1" x14ac:dyDescent="0.45">
      <c r="A201" s="11">
        <v>2013</v>
      </c>
      <c r="B201" s="28"/>
      <c r="C201" s="29"/>
      <c r="D201" s="29"/>
      <c r="E201" s="30"/>
      <c r="F201" s="28"/>
      <c r="G201" s="29"/>
      <c r="H201" s="29"/>
      <c r="I201" s="30"/>
      <c r="J201" s="28"/>
      <c r="K201" s="29"/>
      <c r="L201" s="29"/>
      <c r="M201" s="30"/>
    </row>
    <row r="202" spans="1:13" ht="15.5" hidden="1" thickBot="1" x14ac:dyDescent="0.45">
      <c r="A202" s="10" t="s">
        <v>7</v>
      </c>
      <c r="B202" s="23">
        <v>1100</v>
      </c>
      <c r="C202" s="24">
        <v>0</v>
      </c>
      <c r="D202" s="24">
        <f t="shared" si="93"/>
        <v>1100</v>
      </c>
      <c r="E202" s="25">
        <v>180245.64800230999</v>
      </c>
      <c r="F202" s="23">
        <v>0</v>
      </c>
      <c r="G202" s="24">
        <v>0</v>
      </c>
      <c r="H202" s="24">
        <f t="shared" ref="H202:H208" si="101">F202-G202</f>
        <v>0</v>
      </c>
      <c r="I202" s="25">
        <v>39.970058789999996</v>
      </c>
      <c r="J202" s="23">
        <f t="shared" ref="J202:K204" si="102">F202+B202</f>
        <v>1100</v>
      </c>
      <c r="K202" s="24">
        <f t="shared" si="102"/>
        <v>0</v>
      </c>
      <c r="L202" s="24">
        <f t="shared" ref="L202:L208" si="103">J202-K202</f>
        <v>1100</v>
      </c>
      <c r="M202" s="25">
        <v>180285.61806110002</v>
      </c>
    </row>
    <row r="203" spans="1:13" ht="15.5" hidden="1" thickBot="1" x14ac:dyDescent="0.45">
      <c r="A203" s="10" t="s">
        <v>8</v>
      </c>
      <c r="B203" s="23">
        <v>1100</v>
      </c>
      <c r="C203" s="24">
        <v>0</v>
      </c>
      <c r="D203" s="24">
        <f t="shared" ref="D203:D208" si="104">B203-C203</f>
        <v>1100</v>
      </c>
      <c r="E203" s="25">
        <v>181345.64800230999</v>
      </c>
      <c r="F203" s="23">
        <v>0</v>
      </c>
      <c r="G203" s="24">
        <v>0</v>
      </c>
      <c r="H203" s="24">
        <f t="shared" si="101"/>
        <v>0</v>
      </c>
      <c r="I203" s="25">
        <v>39.970058789999996</v>
      </c>
      <c r="J203" s="23">
        <f t="shared" si="102"/>
        <v>1100</v>
      </c>
      <c r="K203" s="24">
        <f t="shared" si="102"/>
        <v>0</v>
      </c>
      <c r="L203" s="24">
        <f t="shared" si="103"/>
        <v>1100</v>
      </c>
      <c r="M203" s="25">
        <v>181385.61806110002</v>
      </c>
    </row>
    <row r="204" spans="1:13" ht="15.5" hidden="1" thickBot="1" x14ac:dyDescent="0.45">
      <c r="A204" s="10" t="s">
        <v>9</v>
      </c>
      <c r="B204" s="23">
        <f>770+880</f>
        <v>1650</v>
      </c>
      <c r="C204" s="24">
        <v>0</v>
      </c>
      <c r="D204" s="24">
        <f t="shared" si="104"/>
        <v>1650</v>
      </c>
      <c r="E204" s="25">
        <v>182995.64800230999</v>
      </c>
      <c r="F204" s="23">
        <v>0</v>
      </c>
      <c r="G204" s="24">
        <v>0</v>
      </c>
      <c r="H204" s="24">
        <f t="shared" si="101"/>
        <v>0</v>
      </c>
      <c r="I204" s="25">
        <v>39.970058789999996</v>
      </c>
      <c r="J204" s="23">
        <f t="shared" si="102"/>
        <v>1650</v>
      </c>
      <c r="K204" s="24">
        <f t="shared" si="102"/>
        <v>0</v>
      </c>
      <c r="L204" s="24">
        <f t="shared" si="103"/>
        <v>1650</v>
      </c>
      <c r="M204" s="25">
        <v>183035.61806110002</v>
      </c>
    </row>
    <row r="205" spans="1:13" ht="15.5" hidden="1" thickBot="1" x14ac:dyDescent="0.45">
      <c r="A205" s="10" t="s">
        <v>10</v>
      </c>
      <c r="B205" s="23">
        <v>4500</v>
      </c>
      <c r="C205" s="24">
        <v>0</v>
      </c>
      <c r="D205" s="24">
        <f t="shared" si="104"/>
        <v>4500</v>
      </c>
      <c r="E205" s="25">
        <v>187495.64800230999</v>
      </c>
      <c r="F205" s="23">
        <v>0</v>
      </c>
      <c r="G205" s="24">
        <v>0</v>
      </c>
      <c r="H205" s="24">
        <f t="shared" si="101"/>
        <v>0</v>
      </c>
      <c r="I205" s="25">
        <v>39.970058789999996</v>
      </c>
      <c r="J205" s="23">
        <f t="shared" ref="J205:K208" si="105">F205+B205</f>
        <v>4500</v>
      </c>
      <c r="K205" s="24">
        <f t="shared" si="105"/>
        <v>0</v>
      </c>
      <c r="L205" s="24">
        <f t="shared" si="103"/>
        <v>4500</v>
      </c>
      <c r="M205" s="25">
        <v>187535.61806110002</v>
      </c>
    </row>
    <row r="206" spans="1:13" ht="15.5" hidden="1" thickBot="1" x14ac:dyDescent="0.45">
      <c r="A206" s="10" t="s">
        <v>11</v>
      </c>
      <c r="B206" s="23">
        <v>1320</v>
      </c>
      <c r="C206" s="24">
        <v>0</v>
      </c>
      <c r="D206" s="24">
        <f t="shared" si="104"/>
        <v>1320</v>
      </c>
      <c r="E206" s="25">
        <v>188815.64800230999</v>
      </c>
      <c r="F206" s="23">
        <v>0</v>
      </c>
      <c r="G206" s="24">
        <v>0</v>
      </c>
      <c r="H206" s="24">
        <f t="shared" si="101"/>
        <v>0</v>
      </c>
      <c r="I206" s="25">
        <v>39.970058789999996</v>
      </c>
      <c r="J206" s="23">
        <f t="shared" si="105"/>
        <v>1320</v>
      </c>
      <c r="K206" s="24">
        <f t="shared" si="105"/>
        <v>0</v>
      </c>
      <c r="L206" s="24">
        <f t="shared" si="103"/>
        <v>1320</v>
      </c>
      <c r="M206" s="25">
        <v>188855.61806110002</v>
      </c>
    </row>
    <row r="207" spans="1:13" ht="15.5" hidden="1" thickBot="1" x14ac:dyDescent="0.45">
      <c r="A207" s="10" t="s">
        <v>12</v>
      </c>
      <c r="B207" s="23">
        <v>1430</v>
      </c>
      <c r="C207" s="24">
        <v>0</v>
      </c>
      <c r="D207" s="24">
        <f t="shared" si="104"/>
        <v>1430</v>
      </c>
      <c r="E207" s="25">
        <v>190245.64800230999</v>
      </c>
      <c r="F207" s="23">
        <v>0</v>
      </c>
      <c r="G207" s="24">
        <v>0</v>
      </c>
      <c r="H207" s="24">
        <f t="shared" si="101"/>
        <v>0</v>
      </c>
      <c r="I207" s="25">
        <v>39.970058789999996</v>
      </c>
      <c r="J207" s="23">
        <f t="shared" si="105"/>
        <v>1430</v>
      </c>
      <c r="K207" s="24">
        <f t="shared" si="105"/>
        <v>0</v>
      </c>
      <c r="L207" s="24">
        <f t="shared" si="103"/>
        <v>1430</v>
      </c>
      <c r="M207" s="25">
        <v>190285.61806110002</v>
      </c>
    </row>
    <row r="208" spans="1:13" ht="15.5" hidden="1" thickBot="1" x14ac:dyDescent="0.45">
      <c r="A208" s="10" t="s">
        <v>13</v>
      </c>
      <c r="B208" s="23">
        <f>660+990</f>
        <v>1650</v>
      </c>
      <c r="C208" s="24">
        <v>0</v>
      </c>
      <c r="D208" s="24">
        <f t="shared" si="104"/>
        <v>1650</v>
      </c>
      <c r="E208" s="25">
        <v>191895.64800230999</v>
      </c>
      <c r="F208" s="23">
        <v>0</v>
      </c>
      <c r="G208" s="24">
        <v>0</v>
      </c>
      <c r="H208" s="24">
        <f t="shared" si="101"/>
        <v>0</v>
      </c>
      <c r="I208" s="25">
        <v>39.970058789999996</v>
      </c>
      <c r="J208" s="23">
        <f t="shared" si="105"/>
        <v>1650</v>
      </c>
      <c r="K208" s="24">
        <f t="shared" si="105"/>
        <v>0</v>
      </c>
      <c r="L208" s="24">
        <f t="shared" si="103"/>
        <v>1650</v>
      </c>
      <c r="M208" s="25">
        <v>191935.61806110002</v>
      </c>
    </row>
    <row r="209" spans="1:13" ht="15.5" hidden="1" thickBot="1" x14ac:dyDescent="0.45">
      <c r="A209" s="10" t="s">
        <v>14</v>
      </c>
      <c r="B209" s="23">
        <v>781.75</v>
      </c>
      <c r="C209" s="24">
        <v>0</v>
      </c>
      <c r="D209" s="24">
        <f>B209-C209</f>
        <v>781.75</v>
      </c>
      <c r="E209" s="25">
        <v>192677.39800230999</v>
      </c>
      <c r="F209" s="23">
        <v>0</v>
      </c>
      <c r="G209" s="24">
        <v>0</v>
      </c>
      <c r="H209" s="24">
        <f>F209-G209</f>
        <v>0</v>
      </c>
      <c r="I209" s="25">
        <v>39.970058789999996</v>
      </c>
      <c r="J209" s="23">
        <f t="shared" ref="J209:K211" si="106">F209+B209</f>
        <v>781.75</v>
      </c>
      <c r="K209" s="24">
        <f t="shared" si="106"/>
        <v>0</v>
      </c>
      <c r="L209" s="24">
        <f>J209-K209</f>
        <v>781.75</v>
      </c>
      <c r="M209" s="25">
        <v>192717.36806110002</v>
      </c>
    </row>
    <row r="210" spans="1:13" ht="15.5" hidden="1" thickBot="1" x14ac:dyDescent="0.45">
      <c r="A210" s="10" t="s">
        <v>15</v>
      </c>
      <c r="B210" s="23">
        <f>770+880+4000</f>
        <v>5650</v>
      </c>
      <c r="C210" s="24">
        <v>0</v>
      </c>
      <c r="D210" s="24">
        <f>B210-C210</f>
        <v>5650</v>
      </c>
      <c r="E210" s="25">
        <v>198327.39800230999</v>
      </c>
      <c r="F210" s="23">
        <v>0</v>
      </c>
      <c r="G210" s="24">
        <v>0</v>
      </c>
      <c r="H210" s="24">
        <f>F210-G210</f>
        <v>0</v>
      </c>
      <c r="I210" s="25">
        <v>39.970058789999996</v>
      </c>
      <c r="J210" s="23">
        <f t="shared" si="106"/>
        <v>5650</v>
      </c>
      <c r="K210" s="24">
        <f t="shared" si="106"/>
        <v>0</v>
      </c>
      <c r="L210" s="24">
        <f>J210-K210</f>
        <v>5650</v>
      </c>
      <c r="M210" s="25">
        <v>198367.36806110002</v>
      </c>
    </row>
    <row r="211" spans="1:13" ht="15.5" hidden="1" thickBot="1" x14ac:dyDescent="0.45">
      <c r="A211" s="10" t="s">
        <v>16</v>
      </c>
      <c r="B211" s="23">
        <v>0</v>
      </c>
      <c r="C211" s="24">
        <v>13126.857</v>
      </c>
      <c r="D211" s="24">
        <f>B211-C211</f>
        <v>-13126.857</v>
      </c>
      <c r="E211" s="25">
        <v>185200.54100231</v>
      </c>
      <c r="F211" s="23">
        <v>0</v>
      </c>
      <c r="G211" s="24">
        <v>0</v>
      </c>
      <c r="H211" s="24">
        <f>F211-G211</f>
        <v>0</v>
      </c>
      <c r="I211" s="25">
        <v>39.970058789999996</v>
      </c>
      <c r="J211" s="23">
        <f t="shared" si="106"/>
        <v>0</v>
      </c>
      <c r="K211" s="24">
        <f t="shared" si="106"/>
        <v>13126.857</v>
      </c>
      <c r="L211" s="24">
        <f>J211-K211</f>
        <v>-13126.857</v>
      </c>
      <c r="M211" s="25">
        <v>185240.5110611</v>
      </c>
    </row>
    <row r="212" spans="1:13" ht="15.5" hidden="1" thickBot="1" x14ac:dyDescent="0.45">
      <c r="A212" s="10" t="s">
        <v>17</v>
      </c>
      <c r="B212" s="23">
        <f>660+990</f>
        <v>1650</v>
      </c>
      <c r="C212" s="24">
        <v>0</v>
      </c>
      <c r="D212" s="24">
        <f>B212-C212</f>
        <v>1650</v>
      </c>
      <c r="E212" s="25">
        <v>186850.54100231</v>
      </c>
      <c r="F212" s="23">
        <v>0</v>
      </c>
      <c r="G212" s="24">
        <v>0</v>
      </c>
      <c r="H212" s="24">
        <f>F212-G212</f>
        <v>0</v>
      </c>
      <c r="I212" s="25">
        <v>39.970058789999996</v>
      </c>
      <c r="J212" s="23">
        <f>F212+B212</f>
        <v>1650</v>
      </c>
      <c r="K212" s="24">
        <f>G212+C212</f>
        <v>0</v>
      </c>
      <c r="L212" s="24">
        <f>J212-K212</f>
        <v>1650</v>
      </c>
      <c r="M212" s="25">
        <v>186890.5110611</v>
      </c>
    </row>
    <row r="213" spans="1:13" ht="15.5" hidden="1" thickBot="1" x14ac:dyDescent="0.45">
      <c r="A213" s="10" t="s">
        <v>18</v>
      </c>
      <c r="B213" s="23">
        <f>880+781.717</f>
        <v>1661.7170000000001</v>
      </c>
      <c r="C213" s="24">
        <v>0</v>
      </c>
      <c r="D213" s="24">
        <f>B213-C213</f>
        <v>1661.7170000000001</v>
      </c>
      <c r="E213" s="25">
        <v>188512.25800231</v>
      </c>
      <c r="F213" s="23">
        <v>0</v>
      </c>
      <c r="G213" s="24">
        <v>0</v>
      </c>
      <c r="H213" s="24">
        <f>F213-G213</f>
        <v>0</v>
      </c>
      <c r="I213" s="25">
        <v>39.970058789999996</v>
      </c>
      <c r="J213" s="23">
        <f>F213+B213</f>
        <v>1661.7170000000001</v>
      </c>
      <c r="K213" s="24">
        <f>G213+C213</f>
        <v>0</v>
      </c>
      <c r="L213" s="24">
        <f>J213-K213</f>
        <v>1661.7170000000001</v>
      </c>
      <c r="M213" s="25">
        <v>188552.2280611</v>
      </c>
    </row>
    <row r="214" spans="1:13" ht="15.5" hidden="1" thickBot="1" x14ac:dyDescent="0.45">
      <c r="A214" s="11">
        <v>2014</v>
      </c>
      <c r="B214" s="28"/>
      <c r="C214" s="29"/>
      <c r="D214" s="29"/>
      <c r="E214" s="30"/>
      <c r="F214" s="28"/>
      <c r="G214" s="29"/>
      <c r="H214" s="29"/>
      <c r="I214" s="30"/>
      <c r="J214" s="28"/>
      <c r="K214" s="29"/>
      <c r="L214" s="29"/>
      <c r="M214" s="30"/>
    </row>
    <row r="215" spans="1:13" ht="15.5" hidden="1" thickBot="1" x14ac:dyDescent="0.45">
      <c r="A215" s="10" t="s">
        <v>7</v>
      </c>
      <c r="B215" s="23">
        <f>550+660</f>
        <v>1210</v>
      </c>
      <c r="C215" s="24">
        <v>1321</v>
      </c>
      <c r="D215" s="24">
        <f t="shared" ref="D215:D226" si="107">B215-C215</f>
        <v>-111</v>
      </c>
      <c r="E215" s="25">
        <v>188401.25800231</v>
      </c>
      <c r="F215" s="23">
        <v>0</v>
      </c>
      <c r="G215" s="24">
        <v>0</v>
      </c>
      <c r="H215" s="24">
        <f t="shared" ref="H215:H220" si="108">F215-G215</f>
        <v>0</v>
      </c>
      <c r="I215" s="25">
        <v>39.970058789999996</v>
      </c>
      <c r="J215" s="23">
        <f t="shared" ref="J215:K217" si="109">F215+B215</f>
        <v>1210</v>
      </c>
      <c r="K215" s="24">
        <f t="shared" si="109"/>
        <v>1321</v>
      </c>
      <c r="L215" s="24">
        <f t="shared" ref="L215:L220" si="110">J215-K215</f>
        <v>-111</v>
      </c>
      <c r="M215" s="25">
        <v>180285.61806110002</v>
      </c>
    </row>
    <row r="216" spans="1:13" ht="15.5" hidden="1" thickBot="1" x14ac:dyDescent="0.45">
      <c r="A216" s="10" t="s">
        <v>8</v>
      </c>
      <c r="B216" s="23">
        <f>483.666+770</f>
        <v>1253.6659999999999</v>
      </c>
      <c r="C216" s="24">
        <v>0</v>
      </c>
      <c r="D216" s="24">
        <f t="shared" si="107"/>
        <v>1253.6659999999999</v>
      </c>
      <c r="E216" s="25">
        <v>189654.92400231</v>
      </c>
      <c r="F216" s="23">
        <v>0</v>
      </c>
      <c r="G216" s="24">
        <v>0</v>
      </c>
      <c r="H216" s="24">
        <f t="shared" si="108"/>
        <v>0</v>
      </c>
      <c r="I216" s="25">
        <v>39.970058789999996</v>
      </c>
      <c r="J216" s="23">
        <f t="shared" si="109"/>
        <v>1253.6659999999999</v>
      </c>
      <c r="K216" s="24">
        <f t="shared" si="109"/>
        <v>0</v>
      </c>
      <c r="L216" s="24">
        <f t="shared" si="110"/>
        <v>1253.6659999999999</v>
      </c>
      <c r="M216" s="25">
        <v>189694.8940611</v>
      </c>
    </row>
    <row r="217" spans="1:13" ht="15.5" hidden="1" thickBot="1" x14ac:dyDescent="0.45">
      <c r="A217" s="10" t="s">
        <v>9</v>
      </c>
      <c r="B217" s="23">
        <f>550+660</f>
        <v>1210</v>
      </c>
      <c r="C217" s="24">
        <v>0</v>
      </c>
      <c r="D217" s="24">
        <f t="shared" si="107"/>
        <v>1210</v>
      </c>
      <c r="E217" s="25">
        <v>190864.92400231</v>
      </c>
      <c r="F217" s="23">
        <v>0</v>
      </c>
      <c r="G217" s="24">
        <v>0</v>
      </c>
      <c r="H217" s="24">
        <f t="shared" si="108"/>
        <v>0</v>
      </c>
      <c r="I217" s="25">
        <v>39.970058789999996</v>
      </c>
      <c r="J217" s="23">
        <f t="shared" si="109"/>
        <v>1210</v>
      </c>
      <c r="K217" s="24">
        <f t="shared" si="109"/>
        <v>0</v>
      </c>
      <c r="L217" s="24">
        <f t="shared" si="110"/>
        <v>1210</v>
      </c>
      <c r="M217" s="25">
        <v>190904.8940611</v>
      </c>
    </row>
    <row r="218" spans="1:13" ht="15.5" hidden="1" thickBot="1" x14ac:dyDescent="0.45">
      <c r="A218" s="10" t="s">
        <v>10</v>
      </c>
      <c r="B218" s="23">
        <f>460.972+770</f>
        <v>1230.972</v>
      </c>
      <c r="C218" s="24">
        <v>0</v>
      </c>
      <c r="D218" s="24">
        <f t="shared" si="107"/>
        <v>1230.972</v>
      </c>
      <c r="E218" s="25">
        <v>192095.89600231001</v>
      </c>
      <c r="F218" s="23">
        <v>0</v>
      </c>
      <c r="G218" s="24">
        <v>0</v>
      </c>
      <c r="H218" s="24">
        <f t="shared" si="108"/>
        <v>0</v>
      </c>
      <c r="I218" s="25">
        <v>39.970058789999996</v>
      </c>
      <c r="J218" s="23">
        <f t="shared" ref="J218:K220" si="111">F218+B218</f>
        <v>1230.972</v>
      </c>
      <c r="K218" s="24">
        <f t="shared" si="111"/>
        <v>0</v>
      </c>
      <c r="L218" s="24">
        <f t="shared" si="110"/>
        <v>1230.972</v>
      </c>
      <c r="M218" s="25">
        <v>192135.86606110001</v>
      </c>
    </row>
    <row r="219" spans="1:13" ht="15.5" hidden="1" thickBot="1" x14ac:dyDescent="0.45">
      <c r="A219" s="10" t="s">
        <v>11</v>
      </c>
      <c r="B219" s="23">
        <f>471.319+660</f>
        <v>1131.319</v>
      </c>
      <c r="C219" s="24">
        <v>0</v>
      </c>
      <c r="D219" s="24">
        <f t="shared" si="107"/>
        <v>1131.319</v>
      </c>
      <c r="E219" s="25">
        <v>193227.21500231</v>
      </c>
      <c r="F219" s="23">
        <v>0</v>
      </c>
      <c r="G219" s="24">
        <v>0</v>
      </c>
      <c r="H219" s="24">
        <f t="shared" si="108"/>
        <v>0</v>
      </c>
      <c r="I219" s="25">
        <v>39.970058789999996</v>
      </c>
      <c r="J219" s="23">
        <f t="shared" si="111"/>
        <v>1131.319</v>
      </c>
      <c r="K219" s="24">
        <f t="shared" si="111"/>
        <v>0</v>
      </c>
      <c r="L219" s="24">
        <f t="shared" si="110"/>
        <v>1131.319</v>
      </c>
      <c r="M219" s="25">
        <v>193267.1850611</v>
      </c>
    </row>
    <row r="220" spans="1:13" ht="15.5" hidden="1" thickBot="1" x14ac:dyDescent="0.45">
      <c r="A220" s="10" t="s">
        <v>12</v>
      </c>
      <c r="B220" s="23">
        <v>4000</v>
      </c>
      <c r="C220" s="24">
        <v>0</v>
      </c>
      <c r="D220" s="24">
        <f t="shared" si="107"/>
        <v>4000</v>
      </c>
      <c r="E220" s="25">
        <v>197227.21500231</v>
      </c>
      <c r="F220" s="23">
        <v>0</v>
      </c>
      <c r="G220" s="24">
        <v>0</v>
      </c>
      <c r="H220" s="24">
        <f t="shared" si="108"/>
        <v>0</v>
      </c>
      <c r="I220" s="25">
        <v>39.970058789999996</v>
      </c>
      <c r="J220" s="23">
        <f t="shared" si="111"/>
        <v>4000</v>
      </c>
      <c r="K220" s="24">
        <f t="shared" si="111"/>
        <v>0</v>
      </c>
      <c r="L220" s="24">
        <f t="shared" si="110"/>
        <v>4000</v>
      </c>
      <c r="M220" s="25">
        <v>197267.1850611</v>
      </c>
    </row>
    <row r="221" spans="1:13" ht="15.5" hidden="1" thickBot="1" x14ac:dyDescent="0.45">
      <c r="A221" s="10" t="s">
        <v>13</v>
      </c>
      <c r="B221" s="23">
        <f>540+613.058</f>
        <v>1153.058</v>
      </c>
      <c r="C221" s="24">
        <v>9559.6</v>
      </c>
      <c r="D221" s="24">
        <f t="shared" si="107"/>
        <v>-8406.5420000000013</v>
      </c>
      <c r="E221" s="25">
        <v>188820.67300231001</v>
      </c>
      <c r="F221" s="23">
        <v>0</v>
      </c>
      <c r="G221" s="24">
        <v>0</v>
      </c>
      <c r="H221" s="24">
        <f t="shared" ref="H221:H226" si="112">F221-G221</f>
        <v>0</v>
      </c>
      <c r="I221" s="25">
        <v>39.970058789999996</v>
      </c>
      <c r="J221" s="23">
        <f t="shared" ref="J221:K223" si="113">F221+B221</f>
        <v>1153.058</v>
      </c>
      <c r="K221" s="24">
        <f t="shared" si="113"/>
        <v>9559.6</v>
      </c>
      <c r="L221" s="24">
        <f t="shared" ref="L221:L226" si="114">J221-K221</f>
        <v>-8406.5420000000013</v>
      </c>
      <c r="M221" s="25">
        <v>188860.64306110001</v>
      </c>
    </row>
    <row r="222" spans="1:13" ht="15.5" hidden="1" thickBot="1" x14ac:dyDescent="0.45">
      <c r="A222" s="10" t="s">
        <v>14</v>
      </c>
      <c r="B222" s="23">
        <f>495+605</f>
        <v>1100</v>
      </c>
      <c r="C222" s="24">
        <v>0</v>
      </c>
      <c r="D222" s="24">
        <f t="shared" si="107"/>
        <v>1100</v>
      </c>
      <c r="E222" s="25">
        <v>189920.67300231001</v>
      </c>
      <c r="F222" s="23">
        <v>0</v>
      </c>
      <c r="G222" s="24">
        <v>0</v>
      </c>
      <c r="H222" s="24">
        <f t="shared" si="112"/>
        <v>0</v>
      </c>
      <c r="I222" s="25">
        <v>39.970058789999996</v>
      </c>
      <c r="J222" s="23">
        <f t="shared" si="113"/>
        <v>1100</v>
      </c>
      <c r="K222" s="24">
        <f t="shared" si="113"/>
        <v>0</v>
      </c>
      <c r="L222" s="24">
        <f t="shared" si="114"/>
        <v>1100</v>
      </c>
      <c r="M222" s="25">
        <v>189960.64306110001</v>
      </c>
    </row>
    <row r="223" spans="1:13" ht="15.5" hidden="1" thickBot="1" x14ac:dyDescent="0.45">
      <c r="A223" s="10" t="s">
        <v>15</v>
      </c>
      <c r="B223" s="23">
        <f>550+660</f>
        <v>1210</v>
      </c>
      <c r="C223" s="24">
        <v>0</v>
      </c>
      <c r="D223" s="24">
        <f t="shared" si="107"/>
        <v>1210</v>
      </c>
      <c r="E223" s="25">
        <v>191130.67300231001</v>
      </c>
      <c r="F223" s="23">
        <v>0</v>
      </c>
      <c r="G223" s="24">
        <v>0</v>
      </c>
      <c r="H223" s="24">
        <f t="shared" si="112"/>
        <v>0</v>
      </c>
      <c r="I223" s="25">
        <v>39.970058789999996</v>
      </c>
      <c r="J223" s="23">
        <f t="shared" si="113"/>
        <v>1210</v>
      </c>
      <c r="K223" s="24">
        <f t="shared" si="113"/>
        <v>0</v>
      </c>
      <c r="L223" s="24">
        <f t="shared" si="114"/>
        <v>1210</v>
      </c>
      <c r="M223" s="25">
        <v>191170.64306110001</v>
      </c>
    </row>
    <row r="224" spans="1:13" ht="15.5" hidden="1" thickBot="1" x14ac:dyDescent="0.45">
      <c r="A224" s="10" t="s">
        <v>16</v>
      </c>
      <c r="B224" s="23">
        <f>4000+1100</f>
        <v>5100</v>
      </c>
      <c r="C224" s="24">
        <v>11140.870999999999</v>
      </c>
      <c r="D224" s="24">
        <f t="shared" si="107"/>
        <v>-6040.8709999999992</v>
      </c>
      <c r="E224" s="25">
        <v>185089.80200231</v>
      </c>
      <c r="F224" s="23">
        <v>0</v>
      </c>
      <c r="G224" s="24">
        <v>0</v>
      </c>
      <c r="H224" s="24">
        <f t="shared" si="112"/>
        <v>0</v>
      </c>
      <c r="I224" s="25">
        <v>39.970058789999996</v>
      </c>
      <c r="J224" s="23">
        <f t="shared" ref="J224:K226" si="115">F224+B224</f>
        <v>5100</v>
      </c>
      <c r="K224" s="24">
        <f t="shared" si="115"/>
        <v>11140.870999999999</v>
      </c>
      <c r="L224" s="24">
        <f t="shared" si="114"/>
        <v>-6040.8709999999992</v>
      </c>
      <c r="M224" s="25">
        <v>185129.7720611</v>
      </c>
    </row>
    <row r="225" spans="1:13" ht="15.5" hidden="1" thickBot="1" x14ac:dyDescent="0.45">
      <c r="A225" s="10" t="s">
        <v>17</v>
      </c>
      <c r="B225" s="23">
        <f>440+660</f>
        <v>1100</v>
      </c>
      <c r="C225" s="24">
        <v>0</v>
      </c>
      <c r="D225" s="24">
        <f t="shared" si="107"/>
        <v>1100</v>
      </c>
      <c r="E225" s="25">
        <v>186189.80200231</v>
      </c>
      <c r="F225" s="23">
        <v>0</v>
      </c>
      <c r="G225" s="24">
        <v>0</v>
      </c>
      <c r="H225" s="24">
        <f t="shared" si="112"/>
        <v>0</v>
      </c>
      <c r="I225" s="25">
        <v>39.970058789999996</v>
      </c>
      <c r="J225" s="23">
        <f t="shared" si="115"/>
        <v>1100</v>
      </c>
      <c r="K225" s="24">
        <f t="shared" si="115"/>
        <v>0</v>
      </c>
      <c r="L225" s="24">
        <f t="shared" si="114"/>
        <v>1100</v>
      </c>
      <c r="M225" s="25">
        <v>186229.7720611</v>
      </c>
    </row>
    <row r="226" spans="1:13" ht="15.5" hidden="1" thickBot="1" x14ac:dyDescent="0.45">
      <c r="A226" s="10" t="s">
        <v>18</v>
      </c>
      <c r="B226" s="23">
        <v>882.29200000000003</v>
      </c>
      <c r="C226" s="24">
        <v>0</v>
      </c>
      <c r="D226" s="24">
        <f t="shared" si="107"/>
        <v>882.29200000000003</v>
      </c>
      <c r="E226" s="25">
        <v>187072.09400231001</v>
      </c>
      <c r="F226" s="23">
        <v>0</v>
      </c>
      <c r="G226" s="24">
        <v>0</v>
      </c>
      <c r="H226" s="24">
        <f t="shared" si="112"/>
        <v>0</v>
      </c>
      <c r="I226" s="25">
        <v>39.970058789999996</v>
      </c>
      <c r="J226" s="23">
        <f t="shared" si="115"/>
        <v>882.29200000000003</v>
      </c>
      <c r="K226" s="24">
        <f t="shared" si="115"/>
        <v>0</v>
      </c>
      <c r="L226" s="24">
        <f t="shared" si="114"/>
        <v>882.29200000000003</v>
      </c>
      <c r="M226" s="25">
        <v>187112.06406110001</v>
      </c>
    </row>
    <row r="227" spans="1:13" ht="15.5" hidden="1" thickBot="1" x14ac:dyDescent="0.45">
      <c r="A227" s="11">
        <v>2015</v>
      </c>
      <c r="B227" s="28"/>
      <c r="C227" s="29"/>
      <c r="D227" s="29"/>
      <c r="E227" s="30"/>
      <c r="F227" s="28"/>
      <c r="G227" s="29"/>
      <c r="H227" s="29"/>
      <c r="I227" s="30"/>
      <c r="J227" s="28"/>
      <c r="K227" s="29"/>
      <c r="L227" s="29"/>
      <c r="M227" s="30"/>
    </row>
    <row r="228" spans="1:13" ht="15.5" hidden="1" thickBot="1" x14ac:dyDescent="0.45">
      <c r="A228" s="10" t="s">
        <v>7</v>
      </c>
      <c r="B228" s="23">
        <f>660+440</f>
        <v>1100</v>
      </c>
      <c r="C228" s="24">
        <v>0</v>
      </c>
      <c r="D228" s="24">
        <f t="shared" ref="D228:D239" si="116">B228-C228</f>
        <v>1100</v>
      </c>
      <c r="E228" s="25">
        <v>188172.09400231001</v>
      </c>
      <c r="F228" s="23">
        <v>0</v>
      </c>
      <c r="G228" s="24">
        <v>0</v>
      </c>
      <c r="H228" s="24">
        <f t="shared" ref="H228:H234" si="117">F228-G228</f>
        <v>0</v>
      </c>
      <c r="I228" s="25">
        <v>39.970058789999996</v>
      </c>
      <c r="J228" s="23">
        <f t="shared" ref="J228:K231" si="118">F228+B228</f>
        <v>1100</v>
      </c>
      <c r="K228" s="24">
        <f t="shared" si="118"/>
        <v>0</v>
      </c>
      <c r="L228" s="24">
        <f t="shared" ref="L228:L234" si="119">J228-K228</f>
        <v>1100</v>
      </c>
      <c r="M228" s="25">
        <v>188212.06406110001</v>
      </c>
    </row>
    <row r="229" spans="1:13" ht="15.5" hidden="1" thickBot="1" x14ac:dyDescent="0.45">
      <c r="A229" s="10" t="s">
        <v>8</v>
      </c>
      <c r="B229" s="23">
        <f>495+605</f>
        <v>1100</v>
      </c>
      <c r="C229" s="24">
        <v>0</v>
      </c>
      <c r="D229" s="24">
        <f t="shared" si="116"/>
        <v>1100</v>
      </c>
      <c r="E229" s="25">
        <v>189272.09400231001</v>
      </c>
      <c r="F229" s="23">
        <v>0</v>
      </c>
      <c r="G229" s="24">
        <v>0</v>
      </c>
      <c r="H229" s="24">
        <f t="shared" si="117"/>
        <v>0</v>
      </c>
      <c r="I229" s="25">
        <v>39.970058789999996</v>
      </c>
      <c r="J229" s="23">
        <f t="shared" si="118"/>
        <v>1100</v>
      </c>
      <c r="K229" s="24">
        <f t="shared" si="118"/>
        <v>0</v>
      </c>
      <c r="L229" s="24">
        <f t="shared" si="119"/>
        <v>1100</v>
      </c>
      <c r="M229" s="25">
        <v>189312.06406110001</v>
      </c>
    </row>
    <row r="230" spans="1:13" ht="15.5" hidden="1" thickBot="1" x14ac:dyDescent="0.45">
      <c r="A230" s="10" t="s">
        <v>9</v>
      </c>
      <c r="B230" s="23">
        <f>495+605</f>
        <v>1100</v>
      </c>
      <c r="C230" s="24">
        <v>0</v>
      </c>
      <c r="D230" s="24">
        <f t="shared" si="116"/>
        <v>1100</v>
      </c>
      <c r="E230" s="25">
        <v>190372.09400231001</v>
      </c>
      <c r="F230" s="23">
        <v>0</v>
      </c>
      <c r="G230" s="24">
        <v>0</v>
      </c>
      <c r="H230" s="24">
        <f t="shared" si="117"/>
        <v>0</v>
      </c>
      <c r="I230" s="25">
        <v>39.970058789999996</v>
      </c>
      <c r="J230" s="23">
        <f t="shared" si="118"/>
        <v>1100</v>
      </c>
      <c r="K230" s="24">
        <f t="shared" si="118"/>
        <v>0</v>
      </c>
      <c r="L230" s="24">
        <f t="shared" si="119"/>
        <v>1100</v>
      </c>
      <c r="M230" s="25">
        <v>190412.06406110001</v>
      </c>
    </row>
    <row r="231" spans="1:13" ht="15.5" hidden="1" thickBot="1" x14ac:dyDescent="0.45">
      <c r="A231" s="10" t="s">
        <v>10</v>
      </c>
      <c r="B231" s="23">
        <f>527.756+627</f>
        <v>1154.7559999999999</v>
      </c>
      <c r="C231" s="24">
        <v>0</v>
      </c>
      <c r="D231" s="24">
        <f t="shared" si="116"/>
        <v>1154.7559999999999</v>
      </c>
      <c r="E231" s="25">
        <v>191526.85000231001</v>
      </c>
      <c r="F231" s="23">
        <v>0</v>
      </c>
      <c r="G231" s="24">
        <v>0</v>
      </c>
      <c r="H231" s="24">
        <f t="shared" si="117"/>
        <v>0</v>
      </c>
      <c r="I231" s="25">
        <v>39.970058789999996</v>
      </c>
      <c r="J231" s="23">
        <f t="shared" si="118"/>
        <v>1154.7559999999999</v>
      </c>
      <c r="K231" s="24">
        <f t="shared" si="118"/>
        <v>0</v>
      </c>
      <c r="L231" s="24">
        <f t="shared" si="119"/>
        <v>1154.7559999999999</v>
      </c>
      <c r="M231" s="25">
        <v>191566.82006110001</v>
      </c>
    </row>
    <row r="232" spans="1:13" ht="15.5" hidden="1" thickBot="1" x14ac:dyDescent="0.45">
      <c r="A232" s="10" t="s">
        <v>11</v>
      </c>
      <c r="B232" s="23">
        <f>495+605</f>
        <v>1100</v>
      </c>
      <c r="C232" s="24">
        <v>0</v>
      </c>
      <c r="D232" s="24">
        <f t="shared" si="116"/>
        <v>1100</v>
      </c>
      <c r="E232" s="25">
        <v>192626.85000231001</v>
      </c>
      <c r="F232" s="23">
        <v>0</v>
      </c>
      <c r="G232" s="24">
        <v>0</v>
      </c>
      <c r="H232" s="24">
        <f t="shared" si="117"/>
        <v>0</v>
      </c>
      <c r="I232" s="25">
        <v>39.970058789999996</v>
      </c>
      <c r="J232" s="23">
        <f t="shared" ref="J232:K234" si="120">F232+B232</f>
        <v>1100</v>
      </c>
      <c r="K232" s="24">
        <f t="shared" si="120"/>
        <v>0</v>
      </c>
      <c r="L232" s="24">
        <f t="shared" si="119"/>
        <v>1100</v>
      </c>
      <c r="M232" s="25">
        <v>192666.82006110001</v>
      </c>
    </row>
    <row r="233" spans="1:13" ht="15.5" hidden="1" thickBot="1" x14ac:dyDescent="0.45">
      <c r="A233" s="10" t="s">
        <v>12</v>
      </c>
      <c r="B233" s="23">
        <f>4000+660+550</f>
        <v>5210</v>
      </c>
      <c r="C233" s="24">
        <v>0</v>
      </c>
      <c r="D233" s="24">
        <f t="shared" si="116"/>
        <v>5210</v>
      </c>
      <c r="E233" s="25">
        <v>197836.85000231001</v>
      </c>
      <c r="F233" s="23">
        <v>0</v>
      </c>
      <c r="G233" s="24">
        <v>39.970058789999996</v>
      </c>
      <c r="H233" s="24">
        <f t="shared" si="117"/>
        <v>-39.970058789999996</v>
      </c>
      <c r="I233" s="25">
        <v>0</v>
      </c>
      <c r="J233" s="23">
        <f t="shared" si="120"/>
        <v>5210</v>
      </c>
      <c r="K233" s="24">
        <f t="shared" si="120"/>
        <v>39.970058789999996</v>
      </c>
      <c r="L233" s="24">
        <f t="shared" si="119"/>
        <v>5170.0299412100003</v>
      </c>
      <c r="M233" s="25">
        <v>197836.85000231001</v>
      </c>
    </row>
    <row r="234" spans="1:13" ht="15.5" hidden="1" thickBot="1" x14ac:dyDescent="0.45">
      <c r="A234" s="10" t="s">
        <v>13</v>
      </c>
      <c r="B234" s="23">
        <f>855.434+574.497</f>
        <v>1429.931</v>
      </c>
      <c r="C234" s="24">
        <v>13120.11</v>
      </c>
      <c r="D234" s="24">
        <f t="shared" si="116"/>
        <v>-11690.179</v>
      </c>
      <c r="E234" s="25">
        <v>186146.67100231</v>
      </c>
      <c r="F234" s="23">
        <v>0</v>
      </c>
      <c r="G234" s="24">
        <v>0</v>
      </c>
      <c r="H234" s="24">
        <f t="shared" si="117"/>
        <v>0</v>
      </c>
      <c r="I234" s="25">
        <v>0</v>
      </c>
      <c r="J234" s="23">
        <f t="shared" si="120"/>
        <v>1429.931</v>
      </c>
      <c r="K234" s="24">
        <f t="shared" si="120"/>
        <v>13120.11</v>
      </c>
      <c r="L234" s="24">
        <f t="shared" si="119"/>
        <v>-11690.179</v>
      </c>
      <c r="M234" s="25">
        <v>186146.67100231</v>
      </c>
    </row>
    <row r="235" spans="1:13" ht="15.5" hidden="1" thickBot="1" x14ac:dyDescent="0.45">
      <c r="A235" s="10" t="s">
        <v>14</v>
      </c>
      <c r="B235" s="23">
        <f>495+715</f>
        <v>1210</v>
      </c>
      <c r="C235" s="24">
        <v>0</v>
      </c>
      <c r="D235" s="24">
        <f t="shared" si="116"/>
        <v>1210</v>
      </c>
      <c r="E235" s="25">
        <v>187356.67100231</v>
      </c>
      <c r="F235" s="23">
        <v>0</v>
      </c>
      <c r="G235" s="24">
        <v>0</v>
      </c>
      <c r="H235" s="24">
        <f>F235-G235</f>
        <v>0</v>
      </c>
      <c r="I235" s="25">
        <v>0</v>
      </c>
      <c r="J235" s="23">
        <f t="shared" ref="J235:K237" si="121">F235+B235</f>
        <v>1210</v>
      </c>
      <c r="K235" s="24">
        <f t="shared" si="121"/>
        <v>0</v>
      </c>
      <c r="L235" s="24">
        <f>J235-K235</f>
        <v>1210</v>
      </c>
      <c r="M235" s="25">
        <v>187356.67100231</v>
      </c>
    </row>
    <row r="236" spans="1:13" ht="15.5" hidden="1" thickBot="1" x14ac:dyDescent="0.45">
      <c r="A236" s="10" t="s">
        <v>15</v>
      </c>
      <c r="B236" s="23">
        <f>660+770</f>
        <v>1430</v>
      </c>
      <c r="C236" s="24">
        <v>0</v>
      </c>
      <c r="D236" s="24">
        <f t="shared" si="116"/>
        <v>1430</v>
      </c>
      <c r="E236" s="25">
        <v>188786.67100231</v>
      </c>
      <c r="F236" s="23">
        <v>0</v>
      </c>
      <c r="G236" s="24">
        <v>0</v>
      </c>
      <c r="H236" s="24">
        <f>F236-G236</f>
        <v>0</v>
      </c>
      <c r="I236" s="25">
        <v>0</v>
      </c>
      <c r="J236" s="23">
        <f t="shared" si="121"/>
        <v>1430</v>
      </c>
      <c r="K236" s="24">
        <f t="shared" si="121"/>
        <v>0</v>
      </c>
      <c r="L236" s="24">
        <f>J236-K236</f>
        <v>1430</v>
      </c>
      <c r="M236" s="25">
        <v>188786.67100231</v>
      </c>
    </row>
    <row r="237" spans="1:13" ht="15.5" hidden="1" thickBot="1" x14ac:dyDescent="0.45">
      <c r="A237" s="10" t="s">
        <v>16</v>
      </c>
      <c r="B237" s="23">
        <f>660+770</f>
        <v>1430</v>
      </c>
      <c r="C237" s="24">
        <v>0</v>
      </c>
      <c r="D237" s="24">
        <f t="shared" si="116"/>
        <v>1430</v>
      </c>
      <c r="E237" s="25">
        <v>190216.67100231</v>
      </c>
      <c r="F237" s="23">
        <v>0</v>
      </c>
      <c r="G237" s="24">
        <v>0</v>
      </c>
      <c r="H237" s="24">
        <f>F237-G237</f>
        <v>0</v>
      </c>
      <c r="I237" s="25">
        <v>0</v>
      </c>
      <c r="J237" s="23">
        <f t="shared" si="121"/>
        <v>1430</v>
      </c>
      <c r="K237" s="24">
        <f t="shared" si="121"/>
        <v>0</v>
      </c>
      <c r="L237" s="24">
        <f>J237-K237</f>
        <v>1430</v>
      </c>
      <c r="M237" s="25">
        <v>190216.67100231</v>
      </c>
    </row>
    <row r="238" spans="1:13" ht="15.5" hidden="1" thickBot="1" x14ac:dyDescent="0.45">
      <c r="A238" s="10" t="s">
        <v>17</v>
      </c>
      <c r="B238" s="23">
        <f>605+715</f>
        <v>1320</v>
      </c>
      <c r="C238" s="24">
        <v>0</v>
      </c>
      <c r="D238" s="24">
        <f t="shared" si="116"/>
        <v>1320</v>
      </c>
      <c r="E238" s="25">
        <v>191536.67100231</v>
      </c>
      <c r="F238" s="23">
        <v>0</v>
      </c>
      <c r="G238" s="24">
        <v>0</v>
      </c>
      <c r="H238" s="24">
        <f>F238-G238</f>
        <v>0</v>
      </c>
      <c r="I238" s="25">
        <v>0</v>
      </c>
      <c r="J238" s="23">
        <f>F238+B238</f>
        <v>1320</v>
      </c>
      <c r="K238" s="24">
        <f>G238+C238</f>
        <v>0</v>
      </c>
      <c r="L238" s="24">
        <f>J238-K238</f>
        <v>1320</v>
      </c>
      <c r="M238" s="25">
        <v>191536.67100231</v>
      </c>
    </row>
    <row r="239" spans="1:13" ht="15.5" hidden="1" thickBot="1" x14ac:dyDescent="0.45">
      <c r="A239" s="10" t="s">
        <v>18</v>
      </c>
      <c r="B239" s="23">
        <f>605+605</f>
        <v>1210</v>
      </c>
      <c r="C239" s="24">
        <v>0</v>
      </c>
      <c r="D239" s="24">
        <f t="shared" si="116"/>
        <v>1210</v>
      </c>
      <c r="E239" s="25">
        <v>192746.67100231</v>
      </c>
      <c r="F239" s="23">
        <v>0</v>
      </c>
      <c r="G239" s="24">
        <v>0</v>
      </c>
      <c r="H239" s="24">
        <f>F239-G239</f>
        <v>0</v>
      </c>
      <c r="I239" s="25">
        <v>0</v>
      </c>
      <c r="J239" s="23">
        <f>F239+B239</f>
        <v>1210</v>
      </c>
      <c r="K239" s="24">
        <f>G239+C239</f>
        <v>0</v>
      </c>
      <c r="L239" s="24">
        <f>J239-K239</f>
        <v>1210</v>
      </c>
      <c r="M239" s="25">
        <v>192746.67100231</v>
      </c>
    </row>
    <row r="240" spans="1:13" ht="15.5" hidden="1" thickBot="1" x14ac:dyDescent="0.45">
      <c r="A240" s="11">
        <v>2016</v>
      </c>
      <c r="B240" s="28"/>
      <c r="C240" s="29"/>
      <c r="D240" s="29"/>
      <c r="E240" s="30"/>
      <c r="F240" s="28"/>
      <c r="G240" s="29"/>
      <c r="H240" s="29"/>
      <c r="I240" s="30"/>
      <c r="J240" s="28"/>
      <c r="K240" s="29"/>
      <c r="L240" s="29"/>
      <c r="M240" s="30"/>
    </row>
    <row r="241" spans="1:13" ht="15.5" hidden="1" thickBot="1" x14ac:dyDescent="0.45">
      <c r="A241" s="10" t="s">
        <v>7</v>
      </c>
      <c r="B241" s="23">
        <f>519.897+825.632</f>
        <v>1345.529</v>
      </c>
      <c r="C241" s="24">
        <v>0</v>
      </c>
      <c r="D241" s="24">
        <f t="shared" ref="D241:D246" si="122">B241-C241</f>
        <v>1345.529</v>
      </c>
      <c r="E241" s="25">
        <v>194092.20000231001</v>
      </c>
      <c r="F241" s="23">
        <v>0</v>
      </c>
      <c r="G241" s="24">
        <v>0</v>
      </c>
      <c r="H241" s="24">
        <f t="shared" ref="H241:H246" si="123">F241-G241</f>
        <v>0</v>
      </c>
      <c r="I241" s="25">
        <v>0</v>
      </c>
      <c r="J241" s="23">
        <f t="shared" ref="J241:K243" si="124">F241+B241</f>
        <v>1345.529</v>
      </c>
      <c r="K241" s="24">
        <f t="shared" si="124"/>
        <v>0</v>
      </c>
      <c r="L241" s="24">
        <f t="shared" ref="L241:L246" si="125">J241-K241</f>
        <v>1345.529</v>
      </c>
      <c r="M241" s="25">
        <v>194092.20000231001</v>
      </c>
    </row>
    <row r="242" spans="1:13" ht="15.5" hidden="1" thickBot="1" x14ac:dyDescent="0.45">
      <c r="A242" s="10" t="s">
        <v>8</v>
      </c>
      <c r="B242" s="23">
        <f>440+668.762+3500+1500</f>
        <v>6108.7619999999997</v>
      </c>
      <c r="C242" s="24">
        <v>0</v>
      </c>
      <c r="D242" s="24">
        <f t="shared" si="122"/>
        <v>6108.7619999999997</v>
      </c>
      <c r="E242" s="25">
        <v>200200.96200231</v>
      </c>
      <c r="F242" s="23">
        <v>0</v>
      </c>
      <c r="G242" s="24">
        <v>0</v>
      </c>
      <c r="H242" s="24">
        <f t="shared" si="123"/>
        <v>0</v>
      </c>
      <c r="I242" s="25">
        <v>0</v>
      </c>
      <c r="J242" s="23">
        <f t="shared" si="124"/>
        <v>6108.7619999999997</v>
      </c>
      <c r="K242" s="24">
        <f t="shared" si="124"/>
        <v>0</v>
      </c>
      <c r="L242" s="24">
        <f t="shared" si="125"/>
        <v>6108.7619999999997</v>
      </c>
      <c r="M242" s="25">
        <v>200200.96200231</v>
      </c>
    </row>
    <row r="243" spans="1:13" ht="15.5" hidden="1" thickBot="1" x14ac:dyDescent="0.45">
      <c r="A243" s="10" t="s">
        <v>9</v>
      </c>
      <c r="B243" s="23">
        <f>440+660</f>
        <v>1100</v>
      </c>
      <c r="C243" s="24">
        <v>0</v>
      </c>
      <c r="D243" s="24">
        <f t="shared" si="122"/>
        <v>1100</v>
      </c>
      <c r="E243" s="25">
        <v>201300.96200231</v>
      </c>
      <c r="F243" s="23">
        <v>0</v>
      </c>
      <c r="G243" s="24">
        <v>0</v>
      </c>
      <c r="H243" s="24">
        <f t="shared" si="123"/>
        <v>0</v>
      </c>
      <c r="I243" s="25">
        <v>0</v>
      </c>
      <c r="J243" s="23">
        <f t="shared" si="124"/>
        <v>1100</v>
      </c>
      <c r="K243" s="24">
        <f t="shared" si="124"/>
        <v>0</v>
      </c>
      <c r="L243" s="24">
        <f t="shared" si="125"/>
        <v>1100</v>
      </c>
      <c r="M243" s="25">
        <v>201300.96200231</v>
      </c>
    </row>
    <row r="244" spans="1:13" ht="15.5" hidden="1" thickBot="1" x14ac:dyDescent="0.45">
      <c r="A244" s="10" t="s">
        <v>10</v>
      </c>
      <c r="B244" s="23">
        <f>495+605</f>
        <v>1100</v>
      </c>
      <c r="C244" s="24">
        <v>0</v>
      </c>
      <c r="D244" s="24">
        <f t="shared" si="122"/>
        <v>1100</v>
      </c>
      <c r="E244" s="25">
        <v>202400.96200231</v>
      </c>
      <c r="F244" s="23">
        <v>0</v>
      </c>
      <c r="G244" s="24">
        <v>0</v>
      </c>
      <c r="H244" s="24">
        <f t="shared" si="123"/>
        <v>0</v>
      </c>
      <c r="I244" s="25">
        <v>0</v>
      </c>
      <c r="J244" s="23">
        <f t="shared" ref="J244:K246" si="126">F244+B244</f>
        <v>1100</v>
      </c>
      <c r="K244" s="24">
        <f t="shared" si="126"/>
        <v>0</v>
      </c>
      <c r="L244" s="24">
        <f t="shared" si="125"/>
        <v>1100</v>
      </c>
      <c r="M244" s="25">
        <v>202400.96200231</v>
      </c>
    </row>
    <row r="245" spans="1:13" ht="15.5" hidden="1" thickBot="1" x14ac:dyDescent="0.45">
      <c r="A245" s="10" t="s">
        <v>11</v>
      </c>
      <c r="B245" s="23">
        <f>668.769+543.463</f>
        <v>1212.232</v>
      </c>
      <c r="C245" s="24">
        <v>0</v>
      </c>
      <c r="D245" s="24">
        <f t="shared" si="122"/>
        <v>1212.232</v>
      </c>
      <c r="E245" s="25">
        <v>203613.19400230999</v>
      </c>
      <c r="F245" s="23">
        <v>0</v>
      </c>
      <c r="G245" s="24">
        <v>0</v>
      </c>
      <c r="H245" s="24">
        <f t="shared" si="123"/>
        <v>0</v>
      </c>
      <c r="I245" s="25">
        <v>0</v>
      </c>
      <c r="J245" s="23">
        <f t="shared" si="126"/>
        <v>1212.232</v>
      </c>
      <c r="K245" s="24">
        <f t="shared" si="126"/>
        <v>0</v>
      </c>
      <c r="L245" s="24">
        <f t="shared" si="125"/>
        <v>1212.232</v>
      </c>
      <c r="M245" s="25">
        <v>203613.19400230999</v>
      </c>
    </row>
    <row r="246" spans="1:13" ht="15.5" hidden="1" thickBot="1" x14ac:dyDescent="0.45">
      <c r="A246" s="10" t="s">
        <v>12</v>
      </c>
      <c r="B246" s="23">
        <f>716.5+477.667</f>
        <v>1194.1669999999999</v>
      </c>
      <c r="C246" s="24">
        <v>0</v>
      </c>
      <c r="D246" s="24">
        <f t="shared" si="122"/>
        <v>1194.1669999999999</v>
      </c>
      <c r="E246" s="25">
        <v>204807.36100231</v>
      </c>
      <c r="F246" s="23">
        <v>0</v>
      </c>
      <c r="G246" s="24">
        <v>0</v>
      </c>
      <c r="H246" s="24">
        <f t="shared" si="123"/>
        <v>0</v>
      </c>
      <c r="I246" s="25">
        <v>0</v>
      </c>
      <c r="J246" s="23">
        <f t="shared" si="126"/>
        <v>1194.1669999999999</v>
      </c>
      <c r="K246" s="24">
        <f t="shared" si="126"/>
        <v>0</v>
      </c>
      <c r="L246" s="24">
        <f t="shared" si="125"/>
        <v>1194.1669999999999</v>
      </c>
      <c r="M246" s="25">
        <v>204807.36100231</v>
      </c>
    </row>
    <row r="247" spans="1:13" ht="15.5" hidden="1" thickBot="1" x14ac:dyDescent="0.45">
      <c r="A247" s="10" t="s">
        <v>13</v>
      </c>
      <c r="B247" s="23">
        <f>618.381+616.027</f>
        <v>1234.4079999999999</v>
      </c>
      <c r="C247" s="24">
        <v>0</v>
      </c>
      <c r="D247" s="24">
        <f t="shared" ref="D247:D252" si="127">B247-C247</f>
        <v>1234.4079999999999</v>
      </c>
      <c r="E247" s="25">
        <v>206041.73900231</v>
      </c>
      <c r="F247" s="23">
        <v>0</v>
      </c>
      <c r="G247" s="24">
        <v>0</v>
      </c>
      <c r="H247" s="24">
        <f t="shared" ref="H247:H252" si="128">F247-G247</f>
        <v>0</v>
      </c>
      <c r="I247" s="25">
        <v>0</v>
      </c>
      <c r="J247" s="23">
        <f t="shared" ref="J247:K249" si="129">F247+B247</f>
        <v>1234.4079999999999</v>
      </c>
      <c r="K247" s="24">
        <f t="shared" si="129"/>
        <v>0</v>
      </c>
      <c r="L247" s="24">
        <f t="shared" ref="L247:L252" si="130">J247-K247</f>
        <v>1234.4079999999999</v>
      </c>
      <c r="M247" s="25">
        <v>206041.73900231</v>
      </c>
    </row>
    <row r="248" spans="1:13" ht="15.5" hidden="1" thickBot="1" x14ac:dyDescent="0.45">
      <c r="A248" s="10" t="s">
        <v>14</v>
      </c>
      <c r="B248" s="23">
        <v>597.38499999999999</v>
      </c>
      <c r="C248" s="24">
        <v>0</v>
      </c>
      <c r="D248" s="24">
        <f t="shared" si="127"/>
        <v>597.38499999999999</v>
      </c>
      <c r="E248" s="25">
        <v>206639.12400231001</v>
      </c>
      <c r="F248" s="23">
        <v>0</v>
      </c>
      <c r="G248" s="24">
        <v>0</v>
      </c>
      <c r="H248" s="24">
        <f t="shared" si="128"/>
        <v>0</v>
      </c>
      <c r="I248" s="25">
        <v>0</v>
      </c>
      <c r="J248" s="23">
        <f t="shared" si="129"/>
        <v>597.38499999999999</v>
      </c>
      <c r="K248" s="24">
        <f t="shared" si="129"/>
        <v>0</v>
      </c>
      <c r="L248" s="24">
        <f t="shared" si="130"/>
        <v>597.38499999999999</v>
      </c>
      <c r="M248" s="25">
        <v>206639.12400231001</v>
      </c>
    </row>
    <row r="249" spans="1:13" ht="15.5" hidden="1" thickBot="1" x14ac:dyDescent="0.45">
      <c r="A249" s="10" t="s">
        <v>15</v>
      </c>
      <c r="B249" s="23">
        <f>907.077+544.246</f>
        <v>1451.3229999999999</v>
      </c>
      <c r="C249" s="24">
        <v>11565.543</v>
      </c>
      <c r="D249" s="24">
        <f t="shared" si="127"/>
        <v>-10114.219999999999</v>
      </c>
      <c r="E249" s="25">
        <v>196524.90400231001</v>
      </c>
      <c r="F249" s="23">
        <v>0</v>
      </c>
      <c r="G249" s="24">
        <v>0</v>
      </c>
      <c r="H249" s="24">
        <f t="shared" si="128"/>
        <v>0</v>
      </c>
      <c r="I249" s="25">
        <v>0</v>
      </c>
      <c r="J249" s="23">
        <f t="shared" si="129"/>
        <v>1451.3229999999999</v>
      </c>
      <c r="K249" s="24">
        <f t="shared" si="129"/>
        <v>11565.543</v>
      </c>
      <c r="L249" s="24">
        <f t="shared" si="130"/>
        <v>-10114.219999999999</v>
      </c>
      <c r="M249" s="25">
        <v>196524.90400231001</v>
      </c>
    </row>
    <row r="250" spans="1:13" ht="15.5" hidden="1" thickBot="1" x14ac:dyDescent="0.45">
      <c r="A250" s="10" t="s">
        <v>16</v>
      </c>
      <c r="B250" s="23">
        <f>611.118+770</f>
        <v>1381.1179999999999</v>
      </c>
      <c r="C250" s="24">
        <v>0</v>
      </c>
      <c r="D250" s="24">
        <f t="shared" si="127"/>
        <v>1381.1179999999999</v>
      </c>
      <c r="E250" s="25">
        <v>197906.02200231</v>
      </c>
      <c r="F250" s="23">
        <v>0</v>
      </c>
      <c r="G250" s="24">
        <v>0</v>
      </c>
      <c r="H250" s="24">
        <f t="shared" si="128"/>
        <v>0</v>
      </c>
      <c r="I250" s="25">
        <v>0</v>
      </c>
      <c r="J250" s="23">
        <f t="shared" ref="J250:K252" si="131">F250+B250</f>
        <v>1381.1179999999999</v>
      </c>
      <c r="K250" s="24">
        <f t="shared" si="131"/>
        <v>0</v>
      </c>
      <c r="L250" s="24">
        <f t="shared" si="130"/>
        <v>1381.1179999999999</v>
      </c>
      <c r="M250" s="25">
        <v>197906.02200231</v>
      </c>
    </row>
    <row r="251" spans="1:13" ht="15.5" hidden="1" thickBot="1" x14ac:dyDescent="0.45">
      <c r="A251" s="10" t="s">
        <v>17</v>
      </c>
      <c r="B251" s="23">
        <v>5000</v>
      </c>
      <c r="C251" s="24">
        <v>0</v>
      </c>
      <c r="D251" s="24">
        <f t="shared" si="127"/>
        <v>5000</v>
      </c>
      <c r="E251" s="25">
        <v>202906.02200231</v>
      </c>
      <c r="F251" s="23">
        <v>0</v>
      </c>
      <c r="G251" s="24">
        <v>0</v>
      </c>
      <c r="H251" s="24">
        <f t="shared" si="128"/>
        <v>0</v>
      </c>
      <c r="I251" s="25">
        <v>0</v>
      </c>
      <c r="J251" s="23">
        <f t="shared" si="131"/>
        <v>5000</v>
      </c>
      <c r="K251" s="24">
        <f t="shared" si="131"/>
        <v>0</v>
      </c>
      <c r="L251" s="24">
        <f t="shared" si="130"/>
        <v>5000</v>
      </c>
      <c r="M251" s="25">
        <v>202906.02200231</v>
      </c>
    </row>
    <row r="252" spans="1:13" ht="15.5" hidden="1" thickBot="1" x14ac:dyDescent="0.45">
      <c r="A252" s="10" t="s">
        <v>18</v>
      </c>
      <c r="B252" s="23">
        <f>607.115+607.115</f>
        <v>1214.23</v>
      </c>
      <c r="C252" s="24">
        <v>0</v>
      </c>
      <c r="D252" s="24">
        <f t="shared" si="127"/>
        <v>1214.23</v>
      </c>
      <c r="E252" s="25">
        <v>204120.25200231001</v>
      </c>
      <c r="F252" s="23">
        <v>0</v>
      </c>
      <c r="G252" s="24">
        <v>0</v>
      </c>
      <c r="H252" s="24">
        <f t="shared" si="128"/>
        <v>0</v>
      </c>
      <c r="I252" s="25">
        <v>0</v>
      </c>
      <c r="J252" s="23">
        <f t="shared" si="131"/>
        <v>1214.23</v>
      </c>
      <c r="K252" s="24">
        <f t="shared" si="131"/>
        <v>0</v>
      </c>
      <c r="L252" s="24">
        <f t="shared" si="130"/>
        <v>1214.23</v>
      </c>
      <c r="M252" s="25">
        <v>204120.25200231001</v>
      </c>
    </row>
    <row r="253" spans="1:13" ht="15.5" hidden="1" thickBot="1" x14ac:dyDescent="0.45">
      <c r="A253" s="11">
        <v>2017</v>
      </c>
      <c r="B253" s="28"/>
      <c r="C253" s="29"/>
      <c r="D253" s="29"/>
      <c r="E253" s="30"/>
      <c r="F253" s="28"/>
      <c r="G253" s="29"/>
      <c r="H253" s="29"/>
      <c r="I253" s="30"/>
      <c r="J253" s="28"/>
      <c r="K253" s="29"/>
      <c r="L253" s="29"/>
      <c r="M253" s="30"/>
    </row>
    <row r="254" spans="1:13" ht="15.5" hidden="1" thickBot="1" x14ac:dyDescent="0.45">
      <c r="A254" s="10" t="s">
        <v>7</v>
      </c>
      <c r="B254" s="23">
        <f>411.933+715</f>
        <v>1126.933</v>
      </c>
      <c r="C254" s="24">
        <v>0</v>
      </c>
      <c r="D254" s="24">
        <f t="shared" ref="D254:D264" si="132">B254-C254</f>
        <v>1126.933</v>
      </c>
      <c r="E254" s="25">
        <v>205247.18500231</v>
      </c>
      <c r="F254" s="23">
        <v>0</v>
      </c>
      <c r="G254" s="24">
        <v>0</v>
      </c>
      <c r="H254" s="24">
        <f t="shared" ref="H254:H259" si="133">F254-G254</f>
        <v>0</v>
      </c>
      <c r="I254" s="25">
        <v>0</v>
      </c>
      <c r="J254" s="23">
        <f t="shared" ref="J254:K256" si="134">F254+B254</f>
        <v>1126.933</v>
      </c>
      <c r="K254" s="24">
        <f t="shared" si="134"/>
        <v>0</v>
      </c>
      <c r="L254" s="24">
        <f t="shared" ref="L254:L259" si="135">J254-K254</f>
        <v>1126.933</v>
      </c>
      <c r="M254" s="25">
        <v>205247.18500231</v>
      </c>
    </row>
    <row r="255" spans="1:13" ht="15.5" hidden="1" thickBot="1" x14ac:dyDescent="0.45">
      <c r="A255" s="10" t="s">
        <v>8</v>
      </c>
      <c r="B255" s="23">
        <f>660+770</f>
        <v>1430</v>
      </c>
      <c r="C255" s="24">
        <v>9876.6650000000009</v>
      </c>
      <c r="D255" s="24">
        <f t="shared" si="132"/>
        <v>-8446.6650000000009</v>
      </c>
      <c r="E255" s="25">
        <v>196800.52000230999</v>
      </c>
      <c r="F255" s="23">
        <v>0</v>
      </c>
      <c r="G255" s="24">
        <v>0</v>
      </c>
      <c r="H255" s="24">
        <f t="shared" si="133"/>
        <v>0</v>
      </c>
      <c r="I255" s="25">
        <v>0</v>
      </c>
      <c r="J255" s="23">
        <f t="shared" si="134"/>
        <v>1430</v>
      </c>
      <c r="K255" s="24">
        <f t="shared" si="134"/>
        <v>9876.6650000000009</v>
      </c>
      <c r="L255" s="24">
        <f t="shared" si="135"/>
        <v>-8446.6650000000009</v>
      </c>
      <c r="M255" s="25">
        <v>196800.52000230999</v>
      </c>
    </row>
    <row r="256" spans="1:13" ht="15.5" hidden="1" thickBot="1" x14ac:dyDescent="0.45">
      <c r="A256" s="10" t="s">
        <v>9</v>
      </c>
      <c r="B256" s="23">
        <f>687.625+660</f>
        <v>1347.625</v>
      </c>
      <c r="C256" s="24">
        <v>0</v>
      </c>
      <c r="D256" s="24">
        <f t="shared" si="132"/>
        <v>1347.625</v>
      </c>
      <c r="E256" s="25">
        <v>198148.14500230999</v>
      </c>
      <c r="F256" s="23">
        <v>0</v>
      </c>
      <c r="G256" s="24">
        <v>0</v>
      </c>
      <c r="H256" s="24">
        <f t="shared" si="133"/>
        <v>0</v>
      </c>
      <c r="I256" s="25">
        <v>0</v>
      </c>
      <c r="J256" s="23">
        <f t="shared" si="134"/>
        <v>1347.625</v>
      </c>
      <c r="K256" s="24">
        <f t="shared" si="134"/>
        <v>0</v>
      </c>
      <c r="L256" s="24">
        <f t="shared" si="135"/>
        <v>1347.625</v>
      </c>
      <c r="M256" s="25">
        <v>198148.14500230999</v>
      </c>
    </row>
    <row r="257" spans="1:13" ht="15.5" hidden="1" thickBot="1" x14ac:dyDescent="0.45">
      <c r="A257" s="10" t="s">
        <v>10</v>
      </c>
      <c r="B257" s="23">
        <f>4500+715+650.081</f>
        <v>5865.0810000000001</v>
      </c>
      <c r="C257" s="24">
        <v>0</v>
      </c>
      <c r="D257" s="24">
        <f t="shared" si="132"/>
        <v>5865.0810000000001</v>
      </c>
      <c r="E257" s="25">
        <v>204013.22600231</v>
      </c>
      <c r="F257" s="23">
        <v>0</v>
      </c>
      <c r="G257" s="24">
        <v>0</v>
      </c>
      <c r="H257" s="24">
        <f t="shared" si="133"/>
        <v>0</v>
      </c>
      <c r="I257" s="25">
        <v>0</v>
      </c>
      <c r="J257" s="23">
        <f t="shared" ref="J257:K259" si="136">F257+B257</f>
        <v>5865.0810000000001</v>
      </c>
      <c r="K257" s="24">
        <f t="shared" si="136"/>
        <v>0</v>
      </c>
      <c r="L257" s="24">
        <f t="shared" si="135"/>
        <v>5865.0810000000001</v>
      </c>
      <c r="M257" s="25">
        <v>204013.22600231</v>
      </c>
    </row>
    <row r="258" spans="1:13" ht="15.5" hidden="1" thickBot="1" x14ac:dyDescent="0.45">
      <c r="A258" s="10" t="s">
        <v>11</v>
      </c>
      <c r="B258" s="23">
        <f>515.925+698.015</f>
        <v>1213.94</v>
      </c>
      <c r="C258" s="24">
        <v>0</v>
      </c>
      <c r="D258" s="24">
        <f t="shared" si="132"/>
        <v>1213.94</v>
      </c>
      <c r="E258" s="25">
        <v>205227.16600231</v>
      </c>
      <c r="F258" s="23">
        <v>0</v>
      </c>
      <c r="G258" s="24">
        <v>0</v>
      </c>
      <c r="H258" s="24">
        <f t="shared" si="133"/>
        <v>0</v>
      </c>
      <c r="I258" s="25">
        <v>0</v>
      </c>
      <c r="J258" s="23">
        <f t="shared" si="136"/>
        <v>1213.94</v>
      </c>
      <c r="K258" s="24">
        <f t="shared" si="136"/>
        <v>0</v>
      </c>
      <c r="L258" s="24">
        <f t="shared" si="135"/>
        <v>1213.94</v>
      </c>
      <c r="M258" s="25">
        <v>205227.16600231</v>
      </c>
    </row>
    <row r="259" spans="1:13" ht="15.5" hidden="1" thickBot="1" x14ac:dyDescent="0.45">
      <c r="A259" s="10" t="s">
        <v>12</v>
      </c>
      <c r="B259" s="23">
        <f>776.912+661.25+300+300</f>
        <v>2038.162</v>
      </c>
      <c r="C259" s="24">
        <v>0</v>
      </c>
      <c r="D259" s="24">
        <f t="shared" si="132"/>
        <v>2038.162</v>
      </c>
      <c r="E259" s="25">
        <v>207265.32800231001</v>
      </c>
      <c r="F259" s="23">
        <v>0</v>
      </c>
      <c r="G259" s="24">
        <v>0</v>
      </c>
      <c r="H259" s="24">
        <f t="shared" si="133"/>
        <v>0</v>
      </c>
      <c r="I259" s="25">
        <v>0</v>
      </c>
      <c r="J259" s="23">
        <f t="shared" si="136"/>
        <v>2038.162</v>
      </c>
      <c r="K259" s="24">
        <f t="shared" si="136"/>
        <v>0</v>
      </c>
      <c r="L259" s="24">
        <f t="shared" si="135"/>
        <v>2038.162</v>
      </c>
      <c r="M259" s="25">
        <v>207265.32800231001</v>
      </c>
    </row>
    <row r="260" spans="1:13" ht="15.5" hidden="1" thickBot="1" x14ac:dyDescent="0.45">
      <c r="A260" s="10" t="s">
        <v>13</v>
      </c>
      <c r="B260" s="23">
        <f>690+575</f>
        <v>1265</v>
      </c>
      <c r="C260" s="24">
        <v>0</v>
      </c>
      <c r="D260" s="24">
        <f t="shared" si="132"/>
        <v>1265</v>
      </c>
      <c r="E260" s="25">
        <v>208530.32800231001</v>
      </c>
      <c r="F260" s="23">
        <v>0</v>
      </c>
      <c r="G260" s="24">
        <v>0</v>
      </c>
      <c r="H260" s="24">
        <f t="shared" ref="H260:H265" si="137">F260-G260</f>
        <v>0</v>
      </c>
      <c r="I260" s="25">
        <v>0</v>
      </c>
      <c r="J260" s="23">
        <f t="shared" ref="J260:K262" si="138">F260+B260</f>
        <v>1265</v>
      </c>
      <c r="K260" s="24">
        <f t="shared" si="138"/>
        <v>0</v>
      </c>
      <c r="L260" s="24">
        <f t="shared" ref="L260:L265" si="139">J260-K260</f>
        <v>1265</v>
      </c>
      <c r="M260" s="25">
        <v>208530.32800231001</v>
      </c>
    </row>
    <row r="261" spans="1:13" ht="15.5" hidden="1" thickBot="1" x14ac:dyDescent="0.45">
      <c r="A261" s="10" t="s">
        <v>14</v>
      </c>
      <c r="B261" s="23">
        <f>393.068+842.929+500+500+500</f>
        <v>2735.9969999999998</v>
      </c>
      <c r="C261" s="24">
        <v>0</v>
      </c>
      <c r="D261" s="24">
        <f t="shared" si="132"/>
        <v>2735.9969999999998</v>
      </c>
      <c r="E261" s="25">
        <v>211266.32500231001</v>
      </c>
      <c r="F261" s="23">
        <v>0</v>
      </c>
      <c r="G261" s="24">
        <v>0</v>
      </c>
      <c r="H261" s="24">
        <f t="shared" si="137"/>
        <v>0</v>
      </c>
      <c r="I261" s="25">
        <v>0</v>
      </c>
      <c r="J261" s="23">
        <f t="shared" si="138"/>
        <v>2735.9969999999998</v>
      </c>
      <c r="K261" s="24">
        <f t="shared" si="138"/>
        <v>0</v>
      </c>
      <c r="L261" s="24">
        <f t="shared" si="139"/>
        <v>2735.9969999999998</v>
      </c>
      <c r="M261" s="25">
        <v>211266.32500231001</v>
      </c>
    </row>
    <row r="262" spans="1:13" ht="15.5" hidden="1" thickBot="1" x14ac:dyDescent="0.45">
      <c r="A262" s="10" t="s">
        <v>15</v>
      </c>
      <c r="B262" s="23">
        <f>663.33+928.662+3500+4000</f>
        <v>9091.9920000000002</v>
      </c>
      <c r="C262" s="24">
        <v>7979.2790000000005</v>
      </c>
      <c r="D262" s="24">
        <f t="shared" si="132"/>
        <v>1112.7129999999997</v>
      </c>
      <c r="E262" s="25">
        <v>212379.03800231</v>
      </c>
      <c r="F262" s="23">
        <v>0</v>
      </c>
      <c r="G262" s="24">
        <v>0</v>
      </c>
      <c r="H262" s="24">
        <f t="shared" si="137"/>
        <v>0</v>
      </c>
      <c r="I262" s="25">
        <v>0</v>
      </c>
      <c r="J262" s="23">
        <f t="shared" si="138"/>
        <v>9091.9920000000002</v>
      </c>
      <c r="K262" s="24">
        <f t="shared" si="138"/>
        <v>7979.2790000000005</v>
      </c>
      <c r="L262" s="24">
        <f t="shared" si="139"/>
        <v>1112.7129999999997</v>
      </c>
      <c r="M262" s="25">
        <v>212379.03800231</v>
      </c>
    </row>
    <row r="263" spans="1:13" ht="15.5" hidden="1" thickBot="1" x14ac:dyDescent="0.45">
      <c r="A263" s="10" t="s">
        <v>16</v>
      </c>
      <c r="B263" s="23">
        <v>0</v>
      </c>
      <c r="C263" s="24">
        <v>0</v>
      </c>
      <c r="D263" s="24">
        <f t="shared" si="132"/>
        <v>0</v>
      </c>
      <c r="E263" s="25">
        <v>212379.03800231</v>
      </c>
      <c r="F263" s="23">
        <v>0</v>
      </c>
      <c r="G263" s="24">
        <v>0</v>
      </c>
      <c r="H263" s="24">
        <f t="shared" si="137"/>
        <v>0</v>
      </c>
      <c r="I263" s="25">
        <v>0</v>
      </c>
      <c r="J263" s="23">
        <f t="shared" ref="J263:K265" si="140">F263+B263</f>
        <v>0</v>
      </c>
      <c r="K263" s="24">
        <f t="shared" si="140"/>
        <v>0</v>
      </c>
      <c r="L263" s="24">
        <f t="shared" si="139"/>
        <v>0</v>
      </c>
      <c r="M263" s="25">
        <v>212379.03800231</v>
      </c>
    </row>
    <row r="264" spans="1:13" ht="15.5" hidden="1" thickBot="1" x14ac:dyDescent="0.45">
      <c r="A264" s="10" t="s">
        <v>17</v>
      </c>
      <c r="B264" s="23">
        <f>300+350+452.939+847.886+300</f>
        <v>2250.8249999999998</v>
      </c>
      <c r="C264" s="24">
        <v>0</v>
      </c>
      <c r="D264" s="24">
        <f t="shared" si="132"/>
        <v>2250.8249999999998</v>
      </c>
      <c r="E264" s="25">
        <v>214629.86300230998</v>
      </c>
      <c r="F264" s="23">
        <v>0</v>
      </c>
      <c r="G264" s="24">
        <v>0</v>
      </c>
      <c r="H264" s="24">
        <f t="shared" si="137"/>
        <v>0</v>
      </c>
      <c r="I264" s="25">
        <v>0</v>
      </c>
      <c r="J264" s="23">
        <f t="shared" si="140"/>
        <v>2250.8249999999998</v>
      </c>
      <c r="K264" s="24">
        <f t="shared" si="140"/>
        <v>0</v>
      </c>
      <c r="L264" s="24">
        <f t="shared" si="139"/>
        <v>2250.8249999999998</v>
      </c>
      <c r="M264" s="25">
        <v>214629.86300230998</v>
      </c>
    </row>
    <row r="265" spans="1:13" ht="15.5" hidden="1" thickBot="1" x14ac:dyDescent="0.45">
      <c r="A265" s="10" t="s">
        <v>18</v>
      </c>
      <c r="B265" s="23">
        <v>0</v>
      </c>
      <c r="C265" s="24">
        <v>0</v>
      </c>
      <c r="D265" s="24">
        <f>B265-C265</f>
        <v>0</v>
      </c>
      <c r="E265" s="25">
        <v>214629.86300230998</v>
      </c>
      <c r="F265" s="23">
        <v>0</v>
      </c>
      <c r="G265" s="24">
        <v>0</v>
      </c>
      <c r="H265" s="24">
        <f t="shared" si="137"/>
        <v>0</v>
      </c>
      <c r="I265" s="25">
        <v>0</v>
      </c>
      <c r="J265" s="23">
        <f t="shared" si="140"/>
        <v>0</v>
      </c>
      <c r="K265" s="24">
        <f t="shared" si="140"/>
        <v>0</v>
      </c>
      <c r="L265" s="24">
        <f t="shared" si="139"/>
        <v>0</v>
      </c>
      <c r="M265" s="25">
        <v>214629.86300230998</v>
      </c>
    </row>
    <row r="266" spans="1:13" ht="15.5" hidden="1" thickBot="1" x14ac:dyDescent="0.45">
      <c r="A266" s="11">
        <v>2018</v>
      </c>
      <c r="B266" s="28"/>
      <c r="C266" s="29"/>
      <c r="D266" s="29"/>
      <c r="E266" s="30"/>
      <c r="F266" s="28"/>
      <c r="G266" s="29"/>
      <c r="H266" s="29"/>
      <c r="I266" s="30"/>
      <c r="J266" s="28"/>
      <c r="K266" s="29"/>
      <c r="L266" s="29"/>
      <c r="M266" s="30"/>
    </row>
    <row r="267" spans="1:13" ht="15.5" hidden="1" thickBot="1" x14ac:dyDescent="0.45">
      <c r="A267" s="10" t="s">
        <v>7</v>
      </c>
      <c r="B267" s="23">
        <f>517.5+862.5+4000+400+500+500+400</f>
        <v>7180</v>
      </c>
      <c r="C267" s="24">
        <v>12246.606</v>
      </c>
      <c r="D267" s="24">
        <f t="shared" ref="D267:D274" si="141">B267-C267</f>
        <v>-5066.6059999999998</v>
      </c>
      <c r="E267" s="25">
        <v>209563.25700230998</v>
      </c>
      <c r="F267" s="23">
        <v>0</v>
      </c>
      <c r="G267" s="24">
        <v>0</v>
      </c>
      <c r="H267" s="24">
        <f t="shared" ref="H267:H272" si="142">F267-G267</f>
        <v>0</v>
      </c>
      <c r="I267" s="25">
        <v>0</v>
      </c>
      <c r="J267" s="23">
        <f t="shared" ref="J267:K269" si="143">F267+B267</f>
        <v>7180</v>
      </c>
      <c r="K267" s="24">
        <f t="shared" si="143"/>
        <v>12246.606</v>
      </c>
      <c r="L267" s="24">
        <f t="shared" ref="L267:L272" si="144">J267-K267</f>
        <v>-5066.6059999999998</v>
      </c>
      <c r="M267" s="25">
        <v>209563.25700230998</v>
      </c>
    </row>
    <row r="268" spans="1:13" ht="15.5" hidden="1" thickBot="1" x14ac:dyDescent="0.45">
      <c r="A268" s="10" t="s">
        <v>8</v>
      </c>
      <c r="B268" s="23">
        <f>575+830</f>
        <v>1405</v>
      </c>
      <c r="C268" s="24">
        <v>0</v>
      </c>
      <c r="D268" s="24">
        <f t="shared" si="141"/>
        <v>1405</v>
      </c>
      <c r="E268" s="25">
        <v>210968.25700230998</v>
      </c>
      <c r="F268" s="23">
        <v>0</v>
      </c>
      <c r="G268" s="24">
        <v>0</v>
      </c>
      <c r="H268" s="24">
        <f t="shared" si="142"/>
        <v>0</v>
      </c>
      <c r="I268" s="25">
        <v>0</v>
      </c>
      <c r="J268" s="23">
        <f t="shared" si="143"/>
        <v>1405</v>
      </c>
      <c r="K268" s="24">
        <f t="shared" si="143"/>
        <v>0</v>
      </c>
      <c r="L268" s="24">
        <f t="shared" si="144"/>
        <v>1405</v>
      </c>
      <c r="M268" s="25">
        <v>210968.25700230998</v>
      </c>
    </row>
    <row r="269" spans="1:13" ht="15.5" hidden="1" thickBot="1" x14ac:dyDescent="0.45">
      <c r="A269" s="10" t="s">
        <v>9</v>
      </c>
      <c r="B269" s="23">
        <f>460+690</f>
        <v>1150</v>
      </c>
      <c r="C269" s="24">
        <v>0</v>
      </c>
      <c r="D269" s="24">
        <f t="shared" si="141"/>
        <v>1150</v>
      </c>
      <c r="E269" s="25">
        <v>212118.25700230998</v>
      </c>
      <c r="F269" s="23">
        <v>0</v>
      </c>
      <c r="G269" s="24">
        <v>0</v>
      </c>
      <c r="H269" s="24">
        <f t="shared" si="142"/>
        <v>0</v>
      </c>
      <c r="I269" s="25">
        <v>0</v>
      </c>
      <c r="J269" s="23">
        <f t="shared" si="143"/>
        <v>1150</v>
      </c>
      <c r="K269" s="24">
        <f t="shared" si="143"/>
        <v>0</v>
      </c>
      <c r="L269" s="24">
        <f t="shared" si="144"/>
        <v>1150</v>
      </c>
      <c r="M269" s="25">
        <v>212118.25700230998</v>
      </c>
    </row>
    <row r="270" spans="1:13" ht="15.5" hidden="1" thickBot="1" x14ac:dyDescent="0.45">
      <c r="A270" s="10" t="s">
        <v>10</v>
      </c>
      <c r="B270" s="23">
        <f>402.5+747.5</f>
        <v>1150</v>
      </c>
      <c r="C270" s="24">
        <v>0</v>
      </c>
      <c r="D270" s="24">
        <f t="shared" si="141"/>
        <v>1150</v>
      </c>
      <c r="E270" s="25">
        <v>213268.25700230998</v>
      </c>
      <c r="F270" s="23">
        <v>0</v>
      </c>
      <c r="G270" s="24">
        <v>0</v>
      </c>
      <c r="H270" s="24">
        <f t="shared" si="142"/>
        <v>0</v>
      </c>
      <c r="I270" s="25">
        <v>0</v>
      </c>
      <c r="J270" s="23">
        <f t="shared" ref="J270:K272" si="145">F270+B270</f>
        <v>1150</v>
      </c>
      <c r="K270" s="24">
        <f t="shared" si="145"/>
        <v>0</v>
      </c>
      <c r="L270" s="24">
        <f t="shared" si="144"/>
        <v>1150</v>
      </c>
      <c r="M270" s="25">
        <v>213268.25700230998</v>
      </c>
    </row>
    <row r="271" spans="1:13" ht="15.5" hidden="1" thickBot="1" x14ac:dyDescent="0.45">
      <c r="A271" s="10" t="s">
        <v>11</v>
      </c>
      <c r="B271" s="23">
        <f>402.5+747.5</f>
        <v>1150</v>
      </c>
      <c r="C271" s="24">
        <v>0</v>
      </c>
      <c r="D271" s="24">
        <f t="shared" si="141"/>
        <v>1150</v>
      </c>
      <c r="E271" s="25">
        <v>214418.25700230998</v>
      </c>
      <c r="F271" s="23">
        <v>0</v>
      </c>
      <c r="G271" s="24">
        <v>0</v>
      </c>
      <c r="H271" s="24">
        <f t="shared" si="142"/>
        <v>0</v>
      </c>
      <c r="I271" s="25">
        <v>0</v>
      </c>
      <c r="J271" s="23">
        <f t="shared" si="145"/>
        <v>1150</v>
      </c>
      <c r="K271" s="24">
        <f t="shared" si="145"/>
        <v>0</v>
      </c>
      <c r="L271" s="24">
        <f t="shared" si="144"/>
        <v>1150</v>
      </c>
      <c r="M271" s="25">
        <v>214418.25700230998</v>
      </c>
    </row>
    <row r="272" spans="1:13" ht="15.5" hidden="1" thickBot="1" x14ac:dyDescent="0.45">
      <c r="A272" s="10" t="s">
        <v>12</v>
      </c>
      <c r="B272" s="23">
        <f>575+575+500</f>
        <v>1650</v>
      </c>
      <c r="C272" s="24">
        <v>0</v>
      </c>
      <c r="D272" s="24">
        <f t="shared" si="141"/>
        <v>1650</v>
      </c>
      <c r="E272" s="25">
        <v>216068.25700230998</v>
      </c>
      <c r="F272" s="23">
        <v>0</v>
      </c>
      <c r="G272" s="24">
        <v>0</v>
      </c>
      <c r="H272" s="24">
        <f t="shared" si="142"/>
        <v>0</v>
      </c>
      <c r="I272" s="25">
        <v>0</v>
      </c>
      <c r="J272" s="23">
        <f t="shared" si="145"/>
        <v>1650</v>
      </c>
      <c r="K272" s="24">
        <f t="shared" si="145"/>
        <v>0</v>
      </c>
      <c r="L272" s="24">
        <f t="shared" si="144"/>
        <v>1650</v>
      </c>
      <c r="M272" s="25">
        <v>216068.25700230998</v>
      </c>
    </row>
    <row r="273" spans="1:13" ht="15.5" hidden="1" thickBot="1" x14ac:dyDescent="0.45">
      <c r="A273" s="10" t="s">
        <v>13</v>
      </c>
      <c r="B273" s="23">
        <f>597.86+633.417+250</f>
        <v>1481.277</v>
      </c>
      <c r="C273" s="24">
        <v>0</v>
      </c>
      <c r="D273" s="24">
        <f t="shared" si="141"/>
        <v>1481.277</v>
      </c>
      <c r="E273" s="25">
        <v>217549.53400230999</v>
      </c>
      <c r="F273" s="23">
        <v>0</v>
      </c>
      <c r="G273" s="24">
        <v>0</v>
      </c>
      <c r="H273" s="24">
        <f t="shared" ref="H273:H278" si="146">F273-G273</f>
        <v>0</v>
      </c>
      <c r="I273" s="25">
        <v>0</v>
      </c>
      <c r="J273" s="23">
        <f t="shared" ref="J273:K275" si="147">F273+B273</f>
        <v>1481.277</v>
      </c>
      <c r="K273" s="24">
        <f t="shared" si="147"/>
        <v>0</v>
      </c>
      <c r="L273" s="24">
        <f t="shared" ref="L273:L278" si="148">J273-K273</f>
        <v>1481.277</v>
      </c>
      <c r="M273" s="25">
        <v>217549.53400230999</v>
      </c>
    </row>
    <row r="274" spans="1:13" ht="15.5" hidden="1" thickBot="1" x14ac:dyDescent="0.45">
      <c r="A274" s="10" t="s">
        <v>14</v>
      </c>
      <c r="B274" s="23">
        <v>0</v>
      </c>
      <c r="C274" s="24">
        <v>0</v>
      </c>
      <c r="D274" s="24">
        <f t="shared" si="141"/>
        <v>0</v>
      </c>
      <c r="E274" s="25">
        <v>217549.53400230999</v>
      </c>
      <c r="F274" s="23">
        <v>0</v>
      </c>
      <c r="G274" s="24">
        <v>0</v>
      </c>
      <c r="H274" s="24">
        <f t="shared" si="146"/>
        <v>0</v>
      </c>
      <c r="I274" s="25">
        <v>0</v>
      </c>
      <c r="J274" s="23">
        <f t="shared" si="147"/>
        <v>0</v>
      </c>
      <c r="K274" s="24">
        <f t="shared" si="147"/>
        <v>0</v>
      </c>
      <c r="L274" s="24">
        <f t="shared" si="148"/>
        <v>0</v>
      </c>
      <c r="M274" s="25">
        <v>217549.53400230999</v>
      </c>
    </row>
    <row r="275" spans="1:13" ht="15.5" hidden="1" thickBot="1" x14ac:dyDescent="0.45">
      <c r="A275" s="10" t="s">
        <v>15</v>
      </c>
      <c r="B275" s="23">
        <f>690+575</f>
        <v>1265</v>
      </c>
      <c r="C275" s="24">
        <v>0</v>
      </c>
      <c r="D275" s="24">
        <f>B275-C275</f>
        <v>1265</v>
      </c>
      <c r="E275" s="25">
        <v>218814.53400230999</v>
      </c>
      <c r="F275" s="23">
        <v>0</v>
      </c>
      <c r="G275" s="24">
        <v>0</v>
      </c>
      <c r="H275" s="24">
        <f t="shared" si="146"/>
        <v>0</v>
      </c>
      <c r="I275" s="25">
        <v>0</v>
      </c>
      <c r="J275" s="23">
        <f t="shared" si="147"/>
        <v>1265</v>
      </c>
      <c r="K275" s="24">
        <f t="shared" si="147"/>
        <v>0</v>
      </c>
      <c r="L275" s="24">
        <f t="shared" si="148"/>
        <v>1265</v>
      </c>
      <c r="M275" s="25">
        <v>218814.53400230999</v>
      </c>
    </row>
    <row r="276" spans="1:13" ht="15.5" hidden="1" thickBot="1" x14ac:dyDescent="0.45">
      <c r="A276" s="10" t="s">
        <v>16</v>
      </c>
      <c r="B276" s="23">
        <f>517.5+632.5</f>
        <v>1150</v>
      </c>
      <c r="C276" s="24">
        <v>7080</v>
      </c>
      <c r="D276" s="24">
        <f>B276-C276</f>
        <v>-5930</v>
      </c>
      <c r="E276" s="25">
        <v>212884.53400230999</v>
      </c>
      <c r="F276" s="23">
        <v>0</v>
      </c>
      <c r="G276" s="24">
        <v>0</v>
      </c>
      <c r="H276" s="24">
        <f t="shared" si="146"/>
        <v>0</v>
      </c>
      <c r="I276" s="25">
        <v>0</v>
      </c>
      <c r="J276" s="23">
        <f t="shared" ref="J276:K278" si="149">F276+B276</f>
        <v>1150</v>
      </c>
      <c r="K276" s="24">
        <f t="shared" si="149"/>
        <v>7080</v>
      </c>
      <c r="L276" s="24">
        <f t="shared" si="148"/>
        <v>-5930</v>
      </c>
      <c r="M276" s="25">
        <v>212884.53400230999</v>
      </c>
    </row>
    <row r="277" spans="1:13" ht="15.5" hidden="1" thickBot="1" x14ac:dyDescent="0.45">
      <c r="A277" s="10" t="s">
        <v>17</v>
      </c>
      <c r="B277" s="23">
        <v>300</v>
      </c>
      <c r="C277" s="24">
        <v>0</v>
      </c>
      <c r="D277" s="24">
        <f>B277-C277</f>
        <v>300</v>
      </c>
      <c r="E277" s="25">
        <v>213184.53400230999</v>
      </c>
      <c r="F277" s="23">
        <v>0</v>
      </c>
      <c r="G277" s="24">
        <v>0</v>
      </c>
      <c r="H277" s="24">
        <f t="shared" si="146"/>
        <v>0</v>
      </c>
      <c r="I277" s="25">
        <v>0</v>
      </c>
      <c r="J277" s="23">
        <f t="shared" si="149"/>
        <v>300</v>
      </c>
      <c r="K277" s="24">
        <f t="shared" si="149"/>
        <v>0</v>
      </c>
      <c r="L277" s="24">
        <f t="shared" si="148"/>
        <v>300</v>
      </c>
      <c r="M277" s="25">
        <v>213184.53400230999</v>
      </c>
    </row>
    <row r="278" spans="1:13" ht="15.5" hidden="1" thickBot="1" x14ac:dyDescent="0.45">
      <c r="A278" s="10" t="s">
        <v>18</v>
      </c>
      <c r="B278" s="23">
        <v>0</v>
      </c>
      <c r="C278" s="24">
        <v>0</v>
      </c>
      <c r="D278" s="24">
        <f>B278-C278</f>
        <v>0</v>
      </c>
      <c r="E278" s="25">
        <v>213184.53400230999</v>
      </c>
      <c r="F278" s="23">
        <v>0</v>
      </c>
      <c r="G278" s="24">
        <v>0</v>
      </c>
      <c r="H278" s="24">
        <f t="shared" si="146"/>
        <v>0</v>
      </c>
      <c r="I278" s="25">
        <v>0</v>
      </c>
      <c r="J278" s="23">
        <f t="shared" si="149"/>
        <v>0</v>
      </c>
      <c r="K278" s="24">
        <f t="shared" si="149"/>
        <v>0</v>
      </c>
      <c r="L278" s="24">
        <f t="shared" si="148"/>
        <v>0</v>
      </c>
      <c r="M278" s="25">
        <v>213184.53400230999</v>
      </c>
    </row>
    <row r="279" spans="1:13" ht="15.5" hidden="1" thickBot="1" x14ac:dyDescent="0.45">
      <c r="A279" s="11">
        <v>2019</v>
      </c>
      <c r="B279" s="28"/>
      <c r="C279" s="29"/>
      <c r="D279" s="29"/>
      <c r="E279" s="30"/>
      <c r="F279" s="28"/>
      <c r="G279" s="29"/>
      <c r="H279" s="29"/>
      <c r="I279" s="30"/>
      <c r="J279" s="28"/>
      <c r="K279" s="29"/>
      <c r="L279" s="29"/>
      <c r="M279" s="30"/>
    </row>
    <row r="280" spans="1:13" ht="15.5" hidden="1" thickBot="1" x14ac:dyDescent="0.45">
      <c r="A280" s="10" t="s">
        <v>7</v>
      </c>
      <c r="B280" s="23">
        <f>690+575</f>
        <v>1265</v>
      </c>
      <c r="C280" s="24">
        <v>0</v>
      </c>
      <c r="D280" s="24">
        <f t="shared" ref="D280:D286" si="150">B280-C280</f>
        <v>1265</v>
      </c>
      <c r="E280" s="25">
        <v>214449.53400230999</v>
      </c>
      <c r="F280" s="23">
        <v>0</v>
      </c>
      <c r="G280" s="24">
        <v>0</v>
      </c>
      <c r="H280" s="24">
        <f t="shared" ref="H280:H285" si="151">F280-G280</f>
        <v>0</v>
      </c>
      <c r="I280" s="25">
        <v>0</v>
      </c>
      <c r="J280" s="23">
        <f t="shared" ref="J280:K282" si="152">F280+B280</f>
        <v>1265</v>
      </c>
      <c r="K280" s="24">
        <f t="shared" si="152"/>
        <v>0</v>
      </c>
      <c r="L280" s="24">
        <f t="shared" ref="L280:L285" si="153">J280-K280</f>
        <v>1265</v>
      </c>
      <c r="M280" s="25">
        <v>214449.53400230999</v>
      </c>
    </row>
    <row r="281" spans="1:13" ht="15.5" hidden="1" thickBot="1" x14ac:dyDescent="0.45">
      <c r="A281" s="10" t="s">
        <v>8</v>
      </c>
      <c r="B281" s="23">
        <v>5000</v>
      </c>
      <c r="C281" s="24">
        <v>0</v>
      </c>
      <c r="D281" s="24">
        <f t="shared" si="150"/>
        <v>5000</v>
      </c>
      <c r="E281" s="25">
        <v>219449.53400230999</v>
      </c>
      <c r="F281" s="23">
        <v>0</v>
      </c>
      <c r="G281" s="24">
        <v>0</v>
      </c>
      <c r="H281" s="24">
        <f t="shared" si="151"/>
        <v>0</v>
      </c>
      <c r="I281" s="25">
        <v>0</v>
      </c>
      <c r="J281" s="23">
        <f t="shared" si="152"/>
        <v>5000</v>
      </c>
      <c r="K281" s="24">
        <f t="shared" si="152"/>
        <v>0</v>
      </c>
      <c r="L281" s="24">
        <f t="shared" si="153"/>
        <v>5000</v>
      </c>
      <c r="M281" s="25">
        <v>219449.53400230999</v>
      </c>
    </row>
    <row r="282" spans="1:13" ht="15.5" hidden="1" thickBot="1" x14ac:dyDescent="0.45">
      <c r="A282" s="10" t="s">
        <v>9</v>
      </c>
      <c r="B282" s="23">
        <f>397.229+855.593</f>
        <v>1252.8219999999999</v>
      </c>
      <c r="C282" s="24">
        <v>11317.728999999999</v>
      </c>
      <c r="D282" s="24">
        <f t="shared" si="150"/>
        <v>-10064.906999999999</v>
      </c>
      <c r="E282" s="25">
        <v>209384.62700231001</v>
      </c>
      <c r="F282" s="23">
        <v>0</v>
      </c>
      <c r="G282" s="24">
        <v>0</v>
      </c>
      <c r="H282" s="24">
        <f t="shared" si="151"/>
        <v>0</v>
      </c>
      <c r="I282" s="25">
        <v>0</v>
      </c>
      <c r="J282" s="23">
        <f t="shared" si="152"/>
        <v>1252.8219999999999</v>
      </c>
      <c r="K282" s="24">
        <f t="shared" si="152"/>
        <v>11317.728999999999</v>
      </c>
      <c r="L282" s="24">
        <f t="shared" si="153"/>
        <v>-10064.906999999999</v>
      </c>
      <c r="M282" s="25">
        <v>209384.62700231001</v>
      </c>
    </row>
    <row r="283" spans="1:13" ht="15.5" hidden="1" thickBot="1" x14ac:dyDescent="0.45">
      <c r="A283" s="10" t="s">
        <v>10</v>
      </c>
      <c r="B283" s="23">
        <f>575.984+575</f>
        <v>1150.9839999999999</v>
      </c>
      <c r="C283" s="24">
        <v>0</v>
      </c>
      <c r="D283" s="24">
        <f t="shared" si="150"/>
        <v>1150.9839999999999</v>
      </c>
      <c r="E283" s="25">
        <v>210535.61100231</v>
      </c>
      <c r="F283" s="23">
        <v>0</v>
      </c>
      <c r="G283" s="24">
        <v>0</v>
      </c>
      <c r="H283" s="24">
        <f t="shared" si="151"/>
        <v>0</v>
      </c>
      <c r="I283" s="25">
        <v>0</v>
      </c>
      <c r="J283" s="23">
        <f t="shared" ref="J283:K285" si="154">F283+B283</f>
        <v>1150.9839999999999</v>
      </c>
      <c r="K283" s="24">
        <f t="shared" si="154"/>
        <v>0</v>
      </c>
      <c r="L283" s="24">
        <f t="shared" si="153"/>
        <v>1150.9839999999999</v>
      </c>
      <c r="M283" s="25">
        <v>210535.61100231</v>
      </c>
    </row>
    <row r="284" spans="1:13" ht="15.5" hidden="1" thickBot="1" x14ac:dyDescent="0.45">
      <c r="A284" s="10" t="s">
        <v>11</v>
      </c>
      <c r="B284" s="23">
        <f>575+805</f>
        <v>1380</v>
      </c>
      <c r="C284" s="24">
        <v>0</v>
      </c>
      <c r="D284" s="24">
        <f t="shared" si="150"/>
        <v>1380</v>
      </c>
      <c r="E284" s="25">
        <v>211915.61100231</v>
      </c>
      <c r="F284" s="23">
        <v>0</v>
      </c>
      <c r="G284" s="24">
        <v>0</v>
      </c>
      <c r="H284" s="24">
        <f t="shared" si="151"/>
        <v>0</v>
      </c>
      <c r="I284" s="25">
        <v>0</v>
      </c>
      <c r="J284" s="23">
        <f t="shared" si="154"/>
        <v>1380</v>
      </c>
      <c r="K284" s="24">
        <f t="shared" si="154"/>
        <v>0</v>
      </c>
      <c r="L284" s="24">
        <f t="shared" si="153"/>
        <v>1380</v>
      </c>
      <c r="M284" s="25">
        <v>211915.61100231</v>
      </c>
    </row>
    <row r="285" spans="1:13" ht="15.5" hidden="1" thickBot="1" x14ac:dyDescent="0.45">
      <c r="A285" s="10" t="s">
        <v>12</v>
      </c>
      <c r="B285" s="23">
        <f>747.5+632.5</f>
        <v>1380</v>
      </c>
      <c r="C285" s="24">
        <v>7278.9210000000003</v>
      </c>
      <c r="D285" s="24">
        <f t="shared" si="150"/>
        <v>-5898.9210000000003</v>
      </c>
      <c r="E285" s="25">
        <v>206016.69000231</v>
      </c>
      <c r="F285" s="23">
        <v>0</v>
      </c>
      <c r="G285" s="24">
        <v>0</v>
      </c>
      <c r="H285" s="24">
        <f t="shared" si="151"/>
        <v>0</v>
      </c>
      <c r="I285" s="25">
        <v>0</v>
      </c>
      <c r="J285" s="23">
        <f t="shared" si="154"/>
        <v>1380</v>
      </c>
      <c r="K285" s="24">
        <f t="shared" si="154"/>
        <v>7278.9210000000003</v>
      </c>
      <c r="L285" s="24">
        <f t="shared" si="153"/>
        <v>-5898.9210000000003</v>
      </c>
      <c r="M285" s="25">
        <v>206016.69000231</v>
      </c>
    </row>
    <row r="286" spans="1:13" ht="15.5" hidden="1" thickBot="1" x14ac:dyDescent="0.45">
      <c r="A286" s="10" t="s">
        <v>13</v>
      </c>
      <c r="B286" s="23">
        <f>1250+3250</f>
        <v>4500</v>
      </c>
      <c r="C286" s="24">
        <v>0</v>
      </c>
      <c r="D286" s="24">
        <f t="shared" si="150"/>
        <v>4500</v>
      </c>
      <c r="E286" s="25">
        <v>210516.69000231</v>
      </c>
      <c r="F286" s="23">
        <v>0</v>
      </c>
      <c r="G286" s="24">
        <v>0</v>
      </c>
      <c r="H286" s="24">
        <f>F286-G286</f>
        <v>0</v>
      </c>
      <c r="I286" s="25">
        <v>0</v>
      </c>
      <c r="J286" s="23">
        <f t="shared" ref="J286:K290" si="155">F286+B286</f>
        <v>4500</v>
      </c>
      <c r="K286" s="24">
        <f t="shared" si="155"/>
        <v>0</v>
      </c>
      <c r="L286" s="24">
        <f t="shared" ref="L286:L291" si="156">J286-K286</f>
        <v>4500</v>
      </c>
      <c r="M286" s="25">
        <v>210516.69000231</v>
      </c>
    </row>
    <row r="287" spans="1:13" ht="15.5" hidden="1" thickBot="1" x14ac:dyDescent="0.45">
      <c r="A287" s="10" t="s">
        <v>14</v>
      </c>
      <c r="B287" s="23">
        <v>0</v>
      </c>
      <c r="C287" s="24">
        <v>0</v>
      </c>
      <c r="D287" s="24">
        <f>B287-C287</f>
        <v>0</v>
      </c>
      <c r="E287" s="25">
        <v>210516.69000231</v>
      </c>
      <c r="F287" s="23">
        <v>0</v>
      </c>
      <c r="G287" s="24">
        <v>0</v>
      </c>
      <c r="H287" s="24">
        <f>F287-G287</f>
        <v>0</v>
      </c>
      <c r="I287" s="25">
        <v>0</v>
      </c>
      <c r="J287" s="23">
        <f t="shared" si="155"/>
        <v>0</v>
      </c>
      <c r="K287" s="24">
        <f t="shared" si="155"/>
        <v>0</v>
      </c>
      <c r="L287" s="24">
        <f t="shared" si="156"/>
        <v>0</v>
      </c>
      <c r="M287" s="25">
        <v>210516.69000231</v>
      </c>
    </row>
    <row r="288" spans="1:13" ht="15.5" hidden="1" thickBot="1" x14ac:dyDescent="0.45">
      <c r="A288" s="10" t="s">
        <v>15</v>
      </c>
      <c r="B288" s="23">
        <f>575+575</f>
        <v>1150</v>
      </c>
      <c r="C288" s="24">
        <v>0</v>
      </c>
      <c r="D288" s="24">
        <f>B288-C288</f>
        <v>1150</v>
      </c>
      <c r="E288" s="25">
        <v>211666.69000231</v>
      </c>
      <c r="F288" s="23">
        <v>0</v>
      </c>
      <c r="G288" s="24">
        <v>0</v>
      </c>
      <c r="H288" s="24">
        <f>F288-G288</f>
        <v>0</v>
      </c>
      <c r="I288" s="25">
        <v>0</v>
      </c>
      <c r="J288" s="23">
        <f t="shared" si="155"/>
        <v>1150</v>
      </c>
      <c r="K288" s="24">
        <f t="shared" si="155"/>
        <v>0</v>
      </c>
      <c r="L288" s="24">
        <f t="shared" si="156"/>
        <v>1150</v>
      </c>
      <c r="M288" s="25">
        <v>211666.69000231</v>
      </c>
    </row>
    <row r="289" spans="1:13" ht="15.5" hidden="1" thickBot="1" x14ac:dyDescent="0.45">
      <c r="A289" s="10" t="s">
        <v>16</v>
      </c>
      <c r="B289" s="23">
        <f>402.5+632.5</f>
        <v>1035</v>
      </c>
      <c r="C289" s="24">
        <v>7159.4970000000003</v>
      </c>
      <c r="D289" s="24">
        <f>B289-C289</f>
        <v>-6124.4970000000003</v>
      </c>
      <c r="E289" s="25">
        <v>205542.19300231</v>
      </c>
      <c r="F289" s="23">
        <v>0</v>
      </c>
      <c r="G289" s="24">
        <v>0</v>
      </c>
      <c r="H289" s="24">
        <f>F289-G289</f>
        <v>0</v>
      </c>
      <c r="I289" s="25">
        <v>0</v>
      </c>
      <c r="J289" s="23">
        <f t="shared" si="155"/>
        <v>1035</v>
      </c>
      <c r="K289" s="24">
        <f t="shared" si="155"/>
        <v>7159.4970000000003</v>
      </c>
      <c r="L289" s="24">
        <f t="shared" si="156"/>
        <v>-6124.4970000000003</v>
      </c>
      <c r="M289" s="25">
        <v>205542.19300231</v>
      </c>
    </row>
    <row r="290" spans="1:13" ht="15.5" hidden="1" thickBot="1" x14ac:dyDescent="0.45">
      <c r="A290" s="10" t="s">
        <v>17</v>
      </c>
      <c r="B290" s="23">
        <f>517.5+517.5+250+250</f>
        <v>1535</v>
      </c>
      <c r="C290" s="24">
        <v>0</v>
      </c>
      <c r="D290" s="24">
        <f>B290-C290</f>
        <v>1535</v>
      </c>
      <c r="E290" s="25">
        <v>207077.19300231</v>
      </c>
      <c r="F290" s="23">
        <v>0</v>
      </c>
      <c r="G290" s="24">
        <v>0</v>
      </c>
      <c r="H290" s="24">
        <v>0</v>
      </c>
      <c r="I290" s="25">
        <v>0</v>
      </c>
      <c r="J290" s="23">
        <f t="shared" si="155"/>
        <v>1535</v>
      </c>
      <c r="K290" s="24">
        <f t="shared" si="155"/>
        <v>0</v>
      </c>
      <c r="L290" s="24">
        <f t="shared" si="156"/>
        <v>1535</v>
      </c>
      <c r="M290" s="25">
        <v>207077.19300231</v>
      </c>
    </row>
    <row r="291" spans="1:13" ht="15.5" hidden="1" thickBot="1" x14ac:dyDescent="0.45">
      <c r="A291" s="10" t="s">
        <v>18</v>
      </c>
      <c r="B291" s="23">
        <v>460</v>
      </c>
      <c r="C291" s="24">
        <v>0</v>
      </c>
      <c r="D291" s="24">
        <f>B291-C291</f>
        <v>460</v>
      </c>
      <c r="E291" s="25">
        <v>207537.19300231</v>
      </c>
      <c r="F291" s="23">
        <v>0</v>
      </c>
      <c r="G291" s="24">
        <v>0</v>
      </c>
      <c r="H291" s="24">
        <v>0</v>
      </c>
      <c r="I291" s="25">
        <v>0</v>
      </c>
      <c r="J291" s="23">
        <f>F291+B291</f>
        <v>460</v>
      </c>
      <c r="K291" s="24">
        <f>G291+C291</f>
        <v>0</v>
      </c>
      <c r="L291" s="24">
        <f t="shared" si="156"/>
        <v>460</v>
      </c>
      <c r="M291" s="25">
        <v>207537.19300231</v>
      </c>
    </row>
    <row r="292" spans="1:13" ht="15.5" hidden="1" thickBot="1" x14ac:dyDescent="0.45">
      <c r="A292" s="11">
        <v>2020</v>
      </c>
      <c r="B292" s="28"/>
      <c r="C292" s="29"/>
      <c r="D292" s="29"/>
      <c r="E292" s="30"/>
      <c r="F292" s="28"/>
      <c r="G292" s="29"/>
      <c r="H292" s="29"/>
      <c r="I292" s="30"/>
      <c r="J292" s="28"/>
      <c r="K292" s="29"/>
      <c r="L292" s="29"/>
      <c r="M292" s="30"/>
    </row>
    <row r="293" spans="1:13" ht="15.5" hidden="1" thickBot="1" x14ac:dyDescent="0.45">
      <c r="A293" s="10" t="s">
        <v>7</v>
      </c>
      <c r="B293" s="23">
        <f>460+575+250+250+250+250+250+250+100</f>
        <v>2635</v>
      </c>
      <c r="C293" s="24">
        <v>0</v>
      </c>
      <c r="D293" s="24">
        <f t="shared" ref="D293:D299" si="157">B293-C293</f>
        <v>2635</v>
      </c>
      <c r="E293" s="25">
        <v>210172.19300231</v>
      </c>
      <c r="F293" s="23">
        <v>0</v>
      </c>
      <c r="G293" s="24">
        <v>0</v>
      </c>
      <c r="H293" s="24">
        <f t="shared" ref="H293:H298" si="158">F293-G293</f>
        <v>0</v>
      </c>
      <c r="I293" s="25">
        <v>0</v>
      </c>
      <c r="J293" s="23">
        <f t="shared" ref="J293:K295" si="159">F293+B293</f>
        <v>2635</v>
      </c>
      <c r="K293" s="24">
        <f t="shared" si="159"/>
        <v>0</v>
      </c>
      <c r="L293" s="24">
        <f t="shared" ref="L293:L298" si="160">J293-K293</f>
        <v>2635</v>
      </c>
      <c r="M293" s="25">
        <v>210172.19300231</v>
      </c>
    </row>
    <row r="294" spans="1:13" ht="15.5" hidden="1" thickBot="1" x14ac:dyDescent="0.45">
      <c r="A294" s="10" t="s">
        <v>8</v>
      </c>
      <c r="B294" s="23">
        <f>3250+100+200</f>
        <v>3550</v>
      </c>
      <c r="C294" s="24">
        <v>0</v>
      </c>
      <c r="D294" s="24">
        <f t="shared" si="157"/>
        <v>3550</v>
      </c>
      <c r="E294" s="25">
        <v>213722.19300231</v>
      </c>
      <c r="F294" s="23">
        <v>0</v>
      </c>
      <c r="G294" s="24">
        <v>0</v>
      </c>
      <c r="H294" s="24">
        <f t="shared" si="158"/>
        <v>0</v>
      </c>
      <c r="I294" s="25">
        <v>0</v>
      </c>
      <c r="J294" s="23">
        <f t="shared" si="159"/>
        <v>3550</v>
      </c>
      <c r="K294" s="24">
        <f t="shared" si="159"/>
        <v>0</v>
      </c>
      <c r="L294" s="24">
        <f t="shared" si="160"/>
        <v>3550</v>
      </c>
      <c r="M294" s="25">
        <v>213722.19300231</v>
      </c>
    </row>
    <row r="295" spans="1:13" ht="15.5" hidden="1" thickBot="1" x14ac:dyDescent="0.45">
      <c r="A295" s="10" t="s">
        <v>9</v>
      </c>
      <c r="B295" s="23">
        <f>593.376+593.376+250+150+250+250+125+100+300</f>
        <v>2611.752</v>
      </c>
      <c r="C295" s="24">
        <v>0</v>
      </c>
      <c r="D295" s="24">
        <f t="shared" si="157"/>
        <v>2611.752</v>
      </c>
      <c r="E295" s="25">
        <v>216333.94500231001</v>
      </c>
      <c r="F295" s="23">
        <v>0</v>
      </c>
      <c r="G295" s="24">
        <v>0</v>
      </c>
      <c r="H295" s="24">
        <f t="shared" si="158"/>
        <v>0</v>
      </c>
      <c r="I295" s="25">
        <v>0</v>
      </c>
      <c r="J295" s="23">
        <f t="shared" si="159"/>
        <v>2611.752</v>
      </c>
      <c r="K295" s="24">
        <f t="shared" si="159"/>
        <v>0</v>
      </c>
      <c r="L295" s="24">
        <f t="shared" si="160"/>
        <v>2611.752</v>
      </c>
      <c r="M295" s="25">
        <v>216333.94500231001</v>
      </c>
    </row>
    <row r="296" spans="1:13" ht="15.5" hidden="1" thickBot="1" x14ac:dyDescent="0.45">
      <c r="A296" s="10" t="s">
        <v>10</v>
      </c>
      <c r="B296" s="23">
        <v>10035</v>
      </c>
      <c r="C296" s="24">
        <v>0</v>
      </c>
      <c r="D296" s="24">
        <f t="shared" si="157"/>
        <v>10035</v>
      </c>
      <c r="E296" s="25">
        <v>226368.94500231001</v>
      </c>
      <c r="F296" s="23">
        <v>0</v>
      </c>
      <c r="G296" s="24">
        <v>0</v>
      </c>
      <c r="H296" s="24">
        <f t="shared" si="158"/>
        <v>0</v>
      </c>
      <c r="I296" s="25">
        <v>0</v>
      </c>
      <c r="J296" s="23">
        <f t="shared" ref="J296:K298" si="161">F296+B296</f>
        <v>10035</v>
      </c>
      <c r="K296" s="24">
        <f t="shared" si="161"/>
        <v>0</v>
      </c>
      <c r="L296" s="24">
        <f t="shared" si="160"/>
        <v>10035</v>
      </c>
      <c r="M296" s="25">
        <v>226368.94500231001</v>
      </c>
    </row>
    <row r="297" spans="1:13" ht="15.5" hidden="1" thickBot="1" x14ac:dyDescent="0.45">
      <c r="A297" s="10" t="s">
        <v>11</v>
      </c>
      <c r="B297" s="23">
        <v>3439.95</v>
      </c>
      <c r="C297" s="24">
        <v>0</v>
      </c>
      <c r="D297" s="24">
        <f t="shared" si="157"/>
        <v>3439.95</v>
      </c>
      <c r="E297" s="25">
        <v>229808.89500230999</v>
      </c>
      <c r="F297" s="23">
        <v>0</v>
      </c>
      <c r="G297" s="24">
        <v>0</v>
      </c>
      <c r="H297" s="24">
        <f t="shared" si="158"/>
        <v>0</v>
      </c>
      <c r="I297" s="25">
        <v>0</v>
      </c>
      <c r="J297" s="23">
        <f t="shared" si="161"/>
        <v>3439.95</v>
      </c>
      <c r="K297" s="24">
        <f t="shared" si="161"/>
        <v>0</v>
      </c>
      <c r="L297" s="24">
        <f t="shared" si="160"/>
        <v>3439.95</v>
      </c>
      <c r="M297" s="25">
        <v>229808.89500230999</v>
      </c>
    </row>
    <row r="298" spans="1:13" ht="15.5" hidden="1" thickBot="1" x14ac:dyDescent="0.45">
      <c r="A298" s="10" t="s">
        <v>12</v>
      </c>
      <c r="B298" s="23">
        <v>4780</v>
      </c>
      <c r="C298" s="24">
        <v>0</v>
      </c>
      <c r="D298" s="24">
        <f t="shared" si="157"/>
        <v>4780</v>
      </c>
      <c r="E298" s="25">
        <v>234588.89500230999</v>
      </c>
      <c r="F298" s="23">
        <v>0</v>
      </c>
      <c r="G298" s="24">
        <v>0</v>
      </c>
      <c r="H298" s="24">
        <f t="shared" si="158"/>
        <v>0</v>
      </c>
      <c r="I298" s="25">
        <v>0</v>
      </c>
      <c r="J298" s="23">
        <f t="shared" si="161"/>
        <v>4780</v>
      </c>
      <c r="K298" s="24">
        <f t="shared" si="161"/>
        <v>0</v>
      </c>
      <c r="L298" s="24">
        <f t="shared" si="160"/>
        <v>4780</v>
      </c>
      <c r="M298" s="25">
        <v>234588.89500230999</v>
      </c>
    </row>
    <row r="299" spans="1:13" ht="15.5" hidden="1" thickBot="1" x14ac:dyDescent="0.45">
      <c r="A299" s="10" t="s">
        <v>13</v>
      </c>
      <c r="B299" s="23">
        <v>3838.4830000000002</v>
      </c>
      <c r="C299" s="24">
        <v>14767.22</v>
      </c>
      <c r="D299" s="24">
        <f t="shared" si="157"/>
        <v>-10928.736999999999</v>
      </c>
      <c r="E299" s="25">
        <v>223660.15800231</v>
      </c>
      <c r="F299" s="23">
        <v>0</v>
      </c>
      <c r="G299" s="24">
        <v>0</v>
      </c>
      <c r="H299" s="24">
        <f t="shared" ref="H299:H304" si="162">F299-G299</f>
        <v>0</v>
      </c>
      <c r="I299" s="25">
        <v>0</v>
      </c>
      <c r="J299" s="23">
        <f t="shared" ref="J299:K301" si="163">F299+B299</f>
        <v>3838.4830000000002</v>
      </c>
      <c r="K299" s="24">
        <f t="shared" si="163"/>
        <v>14767.22</v>
      </c>
      <c r="L299" s="24">
        <f t="shared" ref="L299:L304" si="164">J299-K299</f>
        <v>-10928.736999999999</v>
      </c>
      <c r="M299" s="25">
        <v>223660.15800231</v>
      </c>
    </row>
    <row r="300" spans="1:13" ht="15.5" hidden="1" thickBot="1" x14ac:dyDescent="0.45">
      <c r="A300" s="10" t="s">
        <v>14</v>
      </c>
      <c r="B300" s="23">
        <v>2350</v>
      </c>
      <c r="C300" s="24">
        <v>0</v>
      </c>
      <c r="D300" s="24">
        <f>B300-C300</f>
        <v>2350</v>
      </c>
      <c r="E300" s="25">
        <v>226010.15800231</v>
      </c>
      <c r="F300" s="23">
        <v>0</v>
      </c>
      <c r="G300" s="24">
        <v>0</v>
      </c>
      <c r="H300" s="24">
        <f t="shared" si="162"/>
        <v>0</v>
      </c>
      <c r="I300" s="25">
        <v>0</v>
      </c>
      <c r="J300" s="23">
        <f t="shared" si="163"/>
        <v>2350</v>
      </c>
      <c r="K300" s="24">
        <f t="shared" si="163"/>
        <v>0</v>
      </c>
      <c r="L300" s="24">
        <f t="shared" si="164"/>
        <v>2350</v>
      </c>
      <c r="M300" s="25">
        <v>226010.15800231</v>
      </c>
    </row>
    <row r="301" spans="1:13" ht="15.5" hidden="1" thickBot="1" x14ac:dyDescent="0.45">
      <c r="A301" s="10" t="s">
        <v>15</v>
      </c>
      <c r="B301" s="23">
        <v>1232.972</v>
      </c>
      <c r="C301" s="24">
        <v>0</v>
      </c>
      <c r="D301" s="24">
        <f>B301-C301</f>
        <v>1232.972</v>
      </c>
      <c r="E301" s="25">
        <v>227243.13000231</v>
      </c>
      <c r="F301" s="23">
        <v>0</v>
      </c>
      <c r="G301" s="24">
        <v>0</v>
      </c>
      <c r="H301" s="24">
        <f t="shared" si="162"/>
        <v>0</v>
      </c>
      <c r="I301" s="25">
        <v>0</v>
      </c>
      <c r="J301" s="23">
        <f t="shared" si="163"/>
        <v>1232.972</v>
      </c>
      <c r="K301" s="24">
        <f t="shared" si="163"/>
        <v>0</v>
      </c>
      <c r="L301" s="24">
        <f t="shared" si="164"/>
        <v>1232.972</v>
      </c>
      <c r="M301" s="25">
        <v>227243.13000231</v>
      </c>
    </row>
    <row r="302" spans="1:13" ht="15.5" hidden="1" thickBot="1" x14ac:dyDescent="0.45">
      <c r="A302" s="10" t="s">
        <v>16</v>
      </c>
      <c r="B302" s="23">
        <f>517.5+632.5+2500+150</f>
        <v>3800</v>
      </c>
      <c r="C302" s="24">
        <v>0</v>
      </c>
      <c r="D302" s="24">
        <f>B302-C302</f>
        <v>3800</v>
      </c>
      <c r="E302" s="25">
        <v>231043.13000231</v>
      </c>
      <c r="F302" s="23">
        <v>0</v>
      </c>
      <c r="G302" s="24">
        <v>0</v>
      </c>
      <c r="H302" s="24">
        <f t="shared" si="162"/>
        <v>0</v>
      </c>
      <c r="I302" s="25">
        <v>0</v>
      </c>
      <c r="J302" s="23">
        <f t="shared" ref="J302:K304" si="165">F302+B302</f>
        <v>3800</v>
      </c>
      <c r="K302" s="24">
        <f t="shared" si="165"/>
        <v>0</v>
      </c>
      <c r="L302" s="24">
        <f t="shared" si="164"/>
        <v>3800</v>
      </c>
      <c r="M302" s="25">
        <v>231043.13000231</v>
      </c>
    </row>
    <row r="303" spans="1:13" ht="15.5" hidden="1" thickBot="1" x14ac:dyDescent="0.45">
      <c r="A303" s="10" t="s">
        <v>17</v>
      </c>
      <c r="B303" s="23">
        <v>798.70500000000004</v>
      </c>
      <c r="C303" s="24">
        <v>0</v>
      </c>
      <c r="D303" s="24">
        <f>B303-C303</f>
        <v>798.70500000000004</v>
      </c>
      <c r="E303" s="25">
        <v>231841.83500230999</v>
      </c>
      <c r="F303" s="23">
        <v>0</v>
      </c>
      <c r="G303" s="24">
        <v>0</v>
      </c>
      <c r="H303" s="24">
        <f t="shared" si="162"/>
        <v>0</v>
      </c>
      <c r="I303" s="25">
        <v>0</v>
      </c>
      <c r="J303" s="23">
        <f t="shared" si="165"/>
        <v>798.70500000000004</v>
      </c>
      <c r="K303" s="24">
        <f t="shared" si="165"/>
        <v>0</v>
      </c>
      <c r="L303" s="24">
        <f t="shared" si="164"/>
        <v>798.70500000000004</v>
      </c>
      <c r="M303" s="25">
        <v>231841.83500230999</v>
      </c>
    </row>
    <row r="304" spans="1:13" ht="15.5" hidden="1" thickBot="1" x14ac:dyDescent="0.45">
      <c r="A304" s="10" t="s">
        <v>18</v>
      </c>
      <c r="B304" s="23">
        <f>200+200+100+150+250</f>
        <v>900</v>
      </c>
      <c r="C304" s="24">
        <v>0</v>
      </c>
      <c r="D304" s="24">
        <f>B304-C304</f>
        <v>900</v>
      </c>
      <c r="E304" s="25">
        <v>232741.83500230999</v>
      </c>
      <c r="F304" s="23">
        <v>0</v>
      </c>
      <c r="G304" s="24">
        <v>0</v>
      </c>
      <c r="H304" s="24">
        <f t="shared" si="162"/>
        <v>0</v>
      </c>
      <c r="I304" s="25">
        <v>0</v>
      </c>
      <c r="J304" s="23">
        <f t="shared" si="165"/>
        <v>900</v>
      </c>
      <c r="K304" s="24">
        <f t="shared" si="165"/>
        <v>0</v>
      </c>
      <c r="L304" s="24">
        <f t="shared" si="164"/>
        <v>900</v>
      </c>
      <c r="M304" s="25">
        <v>232741.83500230999</v>
      </c>
    </row>
    <row r="305" spans="1:13" ht="15.5" hidden="1" thickBot="1" x14ac:dyDescent="0.45">
      <c r="A305" s="11">
        <v>2021</v>
      </c>
      <c r="B305" s="28"/>
      <c r="C305" s="29"/>
      <c r="D305" s="29"/>
      <c r="E305" s="30"/>
      <c r="F305" s="28"/>
      <c r="G305" s="29"/>
      <c r="H305" s="29"/>
      <c r="I305" s="30"/>
      <c r="J305" s="28"/>
      <c r="K305" s="29"/>
      <c r="L305" s="29"/>
      <c r="M305" s="30"/>
    </row>
    <row r="306" spans="1:13" ht="15.5" hidden="1" thickBot="1" x14ac:dyDescent="0.45">
      <c r="A306" s="10" t="s">
        <v>7</v>
      </c>
      <c r="B306" s="23">
        <f>200+728.292+747.5+150+250</f>
        <v>2075.7919999999999</v>
      </c>
      <c r="C306" s="24">
        <v>0</v>
      </c>
      <c r="D306" s="24">
        <f t="shared" ref="D306:D315" si="166">B306-C306</f>
        <v>2075.7919999999999</v>
      </c>
      <c r="E306" s="25">
        <v>234817.62700231001</v>
      </c>
      <c r="F306" s="23">
        <v>0</v>
      </c>
      <c r="G306" s="24">
        <v>0</v>
      </c>
      <c r="H306" s="24">
        <f t="shared" ref="H306:H311" si="167">F306-G306</f>
        <v>0</v>
      </c>
      <c r="I306" s="25">
        <v>0</v>
      </c>
      <c r="J306" s="23">
        <f t="shared" ref="J306:K308" si="168">F306+B306</f>
        <v>2075.7919999999999</v>
      </c>
      <c r="K306" s="24">
        <f t="shared" si="168"/>
        <v>0</v>
      </c>
      <c r="L306" s="24">
        <f t="shared" ref="L306:L311" si="169">J306-K306</f>
        <v>2075.7919999999999</v>
      </c>
      <c r="M306" s="25">
        <v>234817.62700231001</v>
      </c>
    </row>
    <row r="307" spans="1:13" ht="15.5" hidden="1" thickBot="1" x14ac:dyDescent="0.45">
      <c r="A307" s="10" t="s">
        <v>8</v>
      </c>
      <c r="B307" s="23">
        <f>200+4000+200</f>
        <v>4400</v>
      </c>
      <c r="C307" s="24">
        <v>0</v>
      </c>
      <c r="D307" s="24">
        <f t="shared" si="166"/>
        <v>4400</v>
      </c>
      <c r="E307" s="25">
        <v>239217.62700231001</v>
      </c>
      <c r="F307" s="23">
        <v>0</v>
      </c>
      <c r="G307" s="24">
        <v>0</v>
      </c>
      <c r="H307" s="24">
        <f t="shared" si="167"/>
        <v>0</v>
      </c>
      <c r="I307" s="25">
        <v>0</v>
      </c>
      <c r="J307" s="23">
        <f t="shared" si="168"/>
        <v>4400</v>
      </c>
      <c r="K307" s="24">
        <f t="shared" si="168"/>
        <v>0</v>
      </c>
      <c r="L307" s="24">
        <f t="shared" si="169"/>
        <v>4400</v>
      </c>
      <c r="M307" s="25">
        <v>239217.62700231001</v>
      </c>
    </row>
    <row r="308" spans="1:13" ht="15.5" hidden="1" thickBot="1" x14ac:dyDescent="0.45">
      <c r="A308" s="10" t="s">
        <v>9</v>
      </c>
      <c r="B308" s="23">
        <f>690+690+150+150+150+300+150+150+150+150+150</f>
        <v>2880</v>
      </c>
      <c r="C308" s="24">
        <v>0</v>
      </c>
      <c r="D308" s="24">
        <f t="shared" si="166"/>
        <v>2880</v>
      </c>
      <c r="E308" s="25">
        <v>242097.62700231001</v>
      </c>
      <c r="F308" s="23">
        <v>0</v>
      </c>
      <c r="G308" s="24">
        <v>0</v>
      </c>
      <c r="H308" s="24">
        <f t="shared" si="167"/>
        <v>0</v>
      </c>
      <c r="I308" s="25">
        <v>0</v>
      </c>
      <c r="J308" s="23">
        <f t="shared" si="168"/>
        <v>2880</v>
      </c>
      <c r="K308" s="24">
        <f t="shared" si="168"/>
        <v>0</v>
      </c>
      <c r="L308" s="24">
        <f t="shared" si="169"/>
        <v>2880</v>
      </c>
      <c r="M308" s="25">
        <v>242097.62700231001</v>
      </c>
    </row>
    <row r="309" spans="1:13" ht="15.5" hidden="1" thickBot="1" x14ac:dyDescent="0.45">
      <c r="A309" s="10" t="s">
        <v>10</v>
      </c>
      <c r="B309" s="23">
        <f>582.365+1088.923+250+2000+4500+150+300+300</f>
        <v>9171.2880000000005</v>
      </c>
      <c r="C309" s="24">
        <v>0</v>
      </c>
      <c r="D309" s="24">
        <f t="shared" si="166"/>
        <v>9171.2880000000005</v>
      </c>
      <c r="E309" s="25">
        <v>251268.91500231001</v>
      </c>
      <c r="F309" s="23">
        <v>0</v>
      </c>
      <c r="G309" s="24">
        <v>0</v>
      </c>
      <c r="H309" s="24">
        <f t="shared" si="167"/>
        <v>0</v>
      </c>
      <c r="I309" s="25">
        <v>0</v>
      </c>
      <c r="J309" s="23">
        <f t="shared" ref="J309:K311" si="170">F309+B309</f>
        <v>9171.2880000000005</v>
      </c>
      <c r="K309" s="24">
        <f t="shared" si="170"/>
        <v>0</v>
      </c>
      <c r="L309" s="24">
        <f t="shared" si="169"/>
        <v>9171.2880000000005</v>
      </c>
      <c r="M309" s="25">
        <v>251268.91500231001</v>
      </c>
    </row>
    <row r="310" spans="1:13" ht="15.5" hidden="1" thickBot="1" x14ac:dyDescent="0.45">
      <c r="A310" s="10" t="s">
        <v>11</v>
      </c>
      <c r="B310" s="23">
        <f>800.995+805+100+250+100+200+150+300+300+300</f>
        <v>3305.9949999999999</v>
      </c>
      <c r="C310" s="24">
        <v>0</v>
      </c>
      <c r="D310" s="24">
        <f t="shared" si="166"/>
        <v>3305.9949999999999</v>
      </c>
      <c r="E310" s="25">
        <v>254574.91000231</v>
      </c>
      <c r="F310" s="23">
        <v>0</v>
      </c>
      <c r="G310" s="24">
        <v>0</v>
      </c>
      <c r="H310" s="24">
        <f t="shared" si="167"/>
        <v>0</v>
      </c>
      <c r="I310" s="25">
        <v>0</v>
      </c>
      <c r="J310" s="23">
        <f t="shared" si="170"/>
        <v>3305.9949999999999</v>
      </c>
      <c r="K310" s="24">
        <f t="shared" si="170"/>
        <v>0</v>
      </c>
      <c r="L310" s="24">
        <f t="shared" si="169"/>
        <v>3305.9949999999999</v>
      </c>
      <c r="M310" s="25">
        <v>254574.91000231</v>
      </c>
    </row>
    <row r="311" spans="1:13" ht="15.5" hidden="1" thickBot="1" x14ac:dyDescent="0.45">
      <c r="A311" s="10" t="s">
        <v>12</v>
      </c>
      <c r="B311" s="23">
        <f>150+250+777.001+690+150+200</f>
        <v>2217.0010000000002</v>
      </c>
      <c r="C311" s="24">
        <v>0</v>
      </c>
      <c r="D311" s="24">
        <f t="shared" si="166"/>
        <v>2217.0010000000002</v>
      </c>
      <c r="E311" s="25">
        <v>256791.91100230999</v>
      </c>
      <c r="F311" s="23">
        <v>0</v>
      </c>
      <c r="G311" s="24">
        <v>0</v>
      </c>
      <c r="H311" s="24">
        <f t="shared" si="167"/>
        <v>0</v>
      </c>
      <c r="I311" s="25">
        <v>0</v>
      </c>
      <c r="J311" s="23">
        <f t="shared" si="170"/>
        <v>2217.0010000000002</v>
      </c>
      <c r="K311" s="24">
        <f t="shared" si="170"/>
        <v>0</v>
      </c>
      <c r="L311" s="24">
        <f t="shared" si="169"/>
        <v>2217.0010000000002</v>
      </c>
      <c r="M311" s="25">
        <v>256791.91100230999</v>
      </c>
    </row>
    <row r="312" spans="1:13" ht="15.5" hidden="1" thickBot="1" x14ac:dyDescent="0.45">
      <c r="A312" s="10" t="s">
        <v>13</v>
      </c>
      <c r="B312" s="23">
        <v>3296.3339999999998</v>
      </c>
      <c r="C312" s="24">
        <v>0</v>
      </c>
      <c r="D312" s="24">
        <f t="shared" si="166"/>
        <v>3296.3339999999998</v>
      </c>
      <c r="E312" s="25">
        <v>260088.24500231</v>
      </c>
      <c r="F312" s="23">
        <v>0</v>
      </c>
      <c r="G312" s="24">
        <v>0</v>
      </c>
      <c r="H312" s="24">
        <f>F312-G312</f>
        <v>0</v>
      </c>
      <c r="I312" s="25">
        <v>0</v>
      </c>
      <c r="J312" s="23">
        <f>F312+B312</f>
        <v>3296.3339999999998</v>
      </c>
      <c r="K312" s="24">
        <f>G312+C312</f>
        <v>0</v>
      </c>
      <c r="L312" s="24">
        <f>J312-K312</f>
        <v>3296.3339999999998</v>
      </c>
      <c r="M312" s="25">
        <v>260088.24500231</v>
      </c>
    </row>
    <row r="313" spans="1:13" ht="15.5" hidden="1" thickBot="1" x14ac:dyDescent="0.45">
      <c r="A313" s="10" t="s">
        <v>14</v>
      </c>
      <c r="B313" s="23">
        <v>1745</v>
      </c>
      <c r="C313" s="24">
        <v>0</v>
      </c>
      <c r="D313" s="24">
        <f t="shared" si="166"/>
        <v>1745</v>
      </c>
      <c r="E313" s="25">
        <v>261833.24500231</v>
      </c>
      <c r="F313" s="23">
        <v>0</v>
      </c>
      <c r="G313" s="24">
        <v>0</v>
      </c>
      <c r="H313" s="24">
        <f>F313-G313</f>
        <v>0</v>
      </c>
      <c r="I313" s="25">
        <v>0</v>
      </c>
      <c r="J313" s="23">
        <f>F313+B313</f>
        <v>1745</v>
      </c>
      <c r="K313" s="24">
        <f>G313+C313</f>
        <v>0</v>
      </c>
      <c r="L313" s="24">
        <f>J313-K313</f>
        <v>1745</v>
      </c>
      <c r="M313" s="25">
        <v>261833.24500231</v>
      </c>
    </row>
    <row r="314" spans="1:13" ht="15.5" hidden="1" thickBot="1" x14ac:dyDescent="0.45">
      <c r="A314" s="10" t="s">
        <v>15</v>
      </c>
      <c r="B314" s="23">
        <f>920+690+200+5000+250+250</f>
        <v>7310</v>
      </c>
      <c r="C314" s="24">
        <v>15922.082</v>
      </c>
      <c r="D314" s="24">
        <f t="shared" si="166"/>
        <v>-8612.0820000000003</v>
      </c>
      <c r="E314" s="25">
        <v>253221.16300231</v>
      </c>
      <c r="F314" s="23">
        <v>0</v>
      </c>
      <c r="G314" s="24">
        <v>0</v>
      </c>
      <c r="H314" s="24">
        <f>F314-G314</f>
        <v>0</v>
      </c>
      <c r="I314" s="25">
        <v>0</v>
      </c>
      <c r="J314" s="23">
        <v>7310</v>
      </c>
      <c r="K314" s="24">
        <v>15922.082</v>
      </c>
      <c r="L314" s="24">
        <v>-8612.0820000000003</v>
      </c>
      <c r="M314" s="25">
        <v>253221.16300231</v>
      </c>
    </row>
    <row r="315" spans="1:13" ht="15.5" hidden="1" thickBot="1" x14ac:dyDescent="0.45">
      <c r="A315" s="10" t="s">
        <v>16</v>
      </c>
      <c r="B315" s="23">
        <f>632.5+632.5+300</f>
        <v>1565</v>
      </c>
      <c r="C315" s="24">
        <v>0</v>
      </c>
      <c r="D315" s="24">
        <f t="shared" si="166"/>
        <v>1565</v>
      </c>
      <c r="E315" s="25">
        <v>254786.16300231</v>
      </c>
      <c r="F315" s="23">
        <v>0</v>
      </c>
      <c r="G315" s="24">
        <v>0</v>
      </c>
      <c r="H315" s="24">
        <v>0</v>
      </c>
      <c r="I315" s="25">
        <v>0</v>
      </c>
      <c r="J315" s="23">
        <v>1565</v>
      </c>
      <c r="K315" s="24">
        <v>0</v>
      </c>
      <c r="L315" s="24">
        <v>1565</v>
      </c>
      <c r="M315" s="25">
        <v>254786.16300231</v>
      </c>
    </row>
    <row r="316" spans="1:13" ht="15.5" hidden="1" thickBot="1" x14ac:dyDescent="0.45">
      <c r="A316" s="10" t="s">
        <v>17</v>
      </c>
      <c r="B316" s="23">
        <f>792.06</f>
        <v>792.06</v>
      </c>
      <c r="C316" s="24">
        <v>0</v>
      </c>
      <c r="D316" s="24">
        <f>B316-C316</f>
        <v>792.06</v>
      </c>
      <c r="E316" s="25">
        <v>255578.22300231</v>
      </c>
      <c r="F316" s="23">
        <v>0</v>
      </c>
      <c r="G316" s="24">
        <v>0</v>
      </c>
      <c r="H316" s="24">
        <v>0</v>
      </c>
      <c r="I316" s="25">
        <v>0</v>
      </c>
      <c r="J316" s="23">
        <v>792.06</v>
      </c>
      <c r="K316" s="24">
        <v>0</v>
      </c>
      <c r="L316" s="24">
        <v>792.06</v>
      </c>
      <c r="M316" s="25">
        <v>255578.22300231</v>
      </c>
    </row>
    <row r="317" spans="1:13" ht="15.5" hidden="1" thickBot="1" x14ac:dyDescent="0.45">
      <c r="A317" s="10" t="s">
        <v>18</v>
      </c>
      <c r="B317" s="23">
        <f>805+250+250</f>
        <v>1305</v>
      </c>
      <c r="C317" s="24">
        <v>0</v>
      </c>
      <c r="D317" s="24">
        <f>B317-C317</f>
        <v>1305</v>
      </c>
      <c r="E317" s="25">
        <v>256883.22300231</v>
      </c>
      <c r="F317" s="23">
        <v>0</v>
      </c>
      <c r="G317" s="24">
        <v>0</v>
      </c>
      <c r="H317" s="24">
        <v>0</v>
      </c>
      <c r="I317" s="25">
        <v>0</v>
      </c>
      <c r="J317" s="23">
        <f>805+250+250</f>
        <v>1305</v>
      </c>
      <c r="K317" s="24">
        <v>0</v>
      </c>
      <c r="L317" s="24">
        <f>J317-K317</f>
        <v>1305</v>
      </c>
      <c r="M317" s="25">
        <v>256883.22300231</v>
      </c>
    </row>
    <row r="318" spans="1:13" ht="15.5" hidden="1" thickBot="1" x14ac:dyDescent="0.45">
      <c r="A318" s="11">
        <v>2022</v>
      </c>
      <c r="B318" s="28"/>
      <c r="C318" s="29"/>
      <c r="D318" s="29"/>
      <c r="E318" s="30"/>
      <c r="F318" s="28"/>
      <c r="G318" s="29"/>
      <c r="H318" s="29"/>
      <c r="I318" s="30"/>
      <c r="J318" s="28"/>
      <c r="K318" s="29"/>
      <c r="L318" s="29"/>
      <c r="M318" s="30"/>
    </row>
    <row r="319" spans="1:13" ht="15.5" hidden="1" thickBot="1" x14ac:dyDescent="0.45">
      <c r="A319" s="10" t="s">
        <v>7</v>
      </c>
      <c r="B319" s="23">
        <v>7745</v>
      </c>
      <c r="C319" s="24">
        <v>0</v>
      </c>
      <c r="D319" s="24">
        <v>7745</v>
      </c>
      <c r="E319" s="25">
        <v>264628.22300230997</v>
      </c>
      <c r="F319" s="23">
        <v>0</v>
      </c>
      <c r="G319" s="24">
        <v>0</v>
      </c>
      <c r="H319" s="24">
        <v>0</v>
      </c>
      <c r="I319" s="25">
        <v>0</v>
      </c>
      <c r="J319" s="23">
        <v>7745</v>
      </c>
      <c r="K319" s="24">
        <v>0</v>
      </c>
      <c r="L319" s="24">
        <v>7745</v>
      </c>
      <c r="M319" s="25">
        <v>264628.22300230997</v>
      </c>
    </row>
    <row r="320" spans="1:13" ht="15.5" hidden="1" thickBot="1" x14ac:dyDescent="0.45">
      <c r="A320" s="10" t="s">
        <v>8</v>
      </c>
      <c r="B320" s="23">
        <v>1000</v>
      </c>
      <c r="C320" s="24">
        <v>0</v>
      </c>
      <c r="D320" s="24">
        <v>1000</v>
      </c>
      <c r="E320" s="25">
        <v>265628.22300230997</v>
      </c>
      <c r="F320" s="23">
        <v>0</v>
      </c>
      <c r="G320" s="24">
        <v>0</v>
      </c>
      <c r="H320" s="24">
        <v>0</v>
      </c>
      <c r="I320" s="25">
        <v>0</v>
      </c>
      <c r="J320" s="23">
        <v>1000</v>
      </c>
      <c r="K320" s="24">
        <v>0</v>
      </c>
      <c r="L320" s="24">
        <v>1000</v>
      </c>
      <c r="M320" s="25">
        <v>265628.22300230997</v>
      </c>
    </row>
    <row r="321" spans="1:15" ht="15.5" hidden="1" thickBot="1" x14ac:dyDescent="0.45">
      <c r="A321" s="10" t="s">
        <v>9</v>
      </c>
      <c r="B321" s="23">
        <v>6580</v>
      </c>
      <c r="C321" s="24">
        <v>0</v>
      </c>
      <c r="D321" s="24">
        <v>6580</v>
      </c>
      <c r="E321" s="25">
        <v>272208.22300230997</v>
      </c>
      <c r="F321" s="23">
        <v>0</v>
      </c>
      <c r="G321" s="24">
        <v>0</v>
      </c>
      <c r="H321" s="24">
        <v>0</v>
      </c>
      <c r="I321" s="25">
        <v>0</v>
      </c>
      <c r="J321" s="23">
        <v>6580</v>
      </c>
      <c r="K321" s="24">
        <v>0</v>
      </c>
      <c r="L321" s="24">
        <v>6580</v>
      </c>
      <c r="M321" s="25">
        <v>272208.22300230997</v>
      </c>
    </row>
    <row r="322" spans="1:15" ht="15.5" hidden="1" thickBot="1" x14ac:dyDescent="0.45">
      <c r="A322" s="10" t="s">
        <v>10</v>
      </c>
      <c r="B322" s="23">
        <v>3045</v>
      </c>
      <c r="C322" s="24">
        <v>8535.17</v>
      </c>
      <c r="D322" s="24">
        <v>-5490.17</v>
      </c>
      <c r="E322" s="25">
        <v>266718.05300230999</v>
      </c>
      <c r="F322" s="23">
        <v>0</v>
      </c>
      <c r="G322" s="24">
        <v>0</v>
      </c>
      <c r="H322" s="24">
        <v>0</v>
      </c>
      <c r="I322" s="25">
        <v>0</v>
      </c>
      <c r="J322" s="23">
        <v>3045</v>
      </c>
      <c r="K322" s="24">
        <v>8535.17</v>
      </c>
      <c r="L322" s="24">
        <f>J322-K322</f>
        <v>-5490.17</v>
      </c>
      <c r="M322" s="25">
        <v>266718.05300230999</v>
      </c>
    </row>
    <row r="323" spans="1:15" ht="15.5" hidden="1" thickBot="1" x14ac:dyDescent="0.45">
      <c r="A323" s="10" t="s">
        <v>11</v>
      </c>
      <c r="B323" s="23">
        <v>6676.3720000000003</v>
      </c>
      <c r="C323" s="24">
        <v>0</v>
      </c>
      <c r="D323" s="24">
        <v>6676.3720000000003</v>
      </c>
      <c r="E323" s="25">
        <v>273394.42500230996</v>
      </c>
      <c r="F323" s="23">
        <v>0</v>
      </c>
      <c r="G323" s="24">
        <v>0</v>
      </c>
      <c r="H323" s="24">
        <v>0</v>
      </c>
      <c r="I323" s="25">
        <v>0</v>
      </c>
      <c r="J323" s="23">
        <v>6676.3720000000003</v>
      </c>
      <c r="K323" s="24">
        <v>0</v>
      </c>
      <c r="L323" s="24">
        <v>6676.3720000000003</v>
      </c>
      <c r="M323" s="25">
        <v>273394.42500230996</v>
      </c>
    </row>
    <row r="324" spans="1:15" ht="15.5" hidden="1" thickBot="1" x14ac:dyDescent="0.45">
      <c r="A324" s="10" t="s">
        <v>12</v>
      </c>
      <c r="B324" s="23">
        <v>2960</v>
      </c>
      <c r="C324" s="24">
        <v>0</v>
      </c>
      <c r="D324" s="24">
        <v>2960</v>
      </c>
      <c r="E324" s="25">
        <v>276354.42500230996</v>
      </c>
      <c r="F324" s="23">
        <v>0</v>
      </c>
      <c r="G324" s="24">
        <v>0</v>
      </c>
      <c r="H324" s="24">
        <v>0</v>
      </c>
      <c r="I324" s="25">
        <v>0</v>
      </c>
      <c r="J324" s="23">
        <v>2960</v>
      </c>
      <c r="K324" s="24">
        <v>0</v>
      </c>
      <c r="L324" s="24">
        <v>2960</v>
      </c>
      <c r="M324" s="25">
        <v>276354.42500230996</v>
      </c>
    </row>
    <row r="325" spans="1:15" ht="15.5" hidden="1" thickBot="1" x14ac:dyDescent="0.45">
      <c r="A325" s="10" t="s">
        <v>13</v>
      </c>
      <c r="B325" s="23">
        <v>1631.644</v>
      </c>
      <c r="C325" s="24">
        <v>0</v>
      </c>
      <c r="D325" s="24">
        <v>1631.644</v>
      </c>
      <c r="E325" s="25">
        <v>277986.06900230993</v>
      </c>
      <c r="F325" s="23">
        <v>0</v>
      </c>
      <c r="G325" s="24">
        <v>0</v>
      </c>
      <c r="H325" s="24">
        <v>0</v>
      </c>
      <c r="I325" s="25">
        <v>0</v>
      </c>
      <c r="J325" s="23">
        <v>1631.644</v>
      </c>
      <c r="K325" s="24">
        <v>0</v>
      </c>
      <c r="L325" s="24">
        <v>1631.644</v>
      </c>
      <c r="M325" s="25">
        <v>277986.06900230993</v>
      </c>
    </row>
    <row r="326" spans="1:15" ht="15.5" hidden="1" thickBot="1" x14ac:dyDescent="0.45">
      <c r="A326" s="10" t="s">
        <v>14</v>
      </c>
      <c r="B326" s="23">
        <v>2203.71</v>
      </c>
      <c r="C326" s="24">
        <v>0</v>
      </c>
      <c r="D326" s="24">
        <v>2203.71</v>
      </c>
      <c r="E326" s="25">
        <v>280189.77900230995</v>
      </c>
      <c r="F326" s="23">
        <v>0</v>
      </c>
      <c r="G326" s="24">
        <v>0</v>
      </c>
      <c r="H326" s="24">
        <v>0</v>
      </c>
      <c r="I326" s="25">
        <v>0</v>
      </c>
      <c r="J326" s="23">
        <v>2203.71</v>
      </c>
      <c r="K326" s="24">
        <v>0</v>
      </c>
      <c r="L326" s="24">
        <v>2203.71</v>
      </c>
      <c r="M326" s="25">
        <v>280189.77900230995</v>
      </c>
    </row>
    <row r="327" spans="1:15" ht="15.5" hidden="1" thickBot="1" x14ac:dyDescent="0.45">
      <c r="A327" s="10" t="s">
        <v>15</v>
      </c>
      <c r="B327" s="23">
        <v>6225</v>
      </c>
      <c r="C327" s="24">
        <v>6977.8860000000004</v>
      </c>
      <c r="D327" s="24">
        <v>-752.88600000000042</v>
      </c>
      <c r="E327" s="25">
        <v>279436.89300230995</v>
      </c>
      <c r="F327" s="23">
        <v>0</v>
      </c>
      <c r="G327" s="24">
        <v>0</v>
      </c>
      <c r="H327" s="24">
        <v>0</v>
      </c>
      <c r="I327" s="25">
        <v>0</v>
      </c>
      <c r="J327" s="23">
        <v>6225</v>
      </c>
      <c r="K327" s="24">
        <v>6977.8860000000004</v>
      </c>
      <c r="L327" s="24">
        <v>-752.88600000000042</v>
      </c>
      <c r="M327" s="25">
        <v>279436.89300230995</v>
      </c>
    </row>
    <row r="328" spans="1:15" ht="15.5" hidden="1" thickBot="1" x14ac:dyDescent="0.45">
      <c r="A328" s="10" t="s">
        <v>16</v>
      </c>
      <c r="B328" s="23">
        <v>3525</v>
      </c>
      <c r="C328" s="24">
        <v>0</v>
      </c>
      <c r="D328" s="24">
        <v>3525</v>
      </c>
      <c r="E328" s="25">
        <v>282961.89300230995</v>
      </c>
      <c r="F328" s="23">
        <v>0</v>
      </c>
      <c r="G328" s="24">
        <v>0</v>
      </c>
      <c r="H328" s="24">
        <v>0</v>
      </c>
      <c r="I328" s="25">
        <v>0</v>
      </c>
      <c r="J328" s="23">
        <v>3525</v>
      </c>
      <c r="K328" s="24">
        <v>0</v>
      </c>
      <c r="L328" s="24">
        <v>3525</v>
      </c>
      <c r="M328" s="25">
        <v>282961.89300230995</v>
      </c>
    </row>
    <row r="329" spans="1:15" ht="15.5" hidden="1" thickBot="1" x14ac:dyDescent="0.45">
      <c r="A329" s="10" t="s">
        <v>17</v>
      </c>
      <c r="B329" s="23">
        <v>2848.248</v>
      </c>
      <c r="C329" s="24">
        <v>10546.375</v>
      </c>
      <c r="D329" s="24">
        <v>-7698.1270000000004</v>
      </c>
      <c r="E329" s="25">
        <v>275263.76600230997</v>
      </c>
      <c r="F329" s="23">
        <v>0</v>
      </c>
      <c r="G329" s="24">
        <v>0</v>
      </c>
      <c r="H329" s="24">
        <v>0</v>
      </c>
      <c r="I329" s="25">
        <v>0</v>
      </c>
      <c r="J329" s="23">
        <v>2848.248</v>
      </c>
      <c r="K329" s="24">
        <v>10546.375</v>
      </c>
      <c r="L329" s="24">
        <v>-7698.1270000000004</v>
      </c>
      <c r="M329" s="25">
        <v>275263.76600230997</v>
      </c>
    </row>
    <row r="330" spans="1:15" ht="15.5" hidden="1" thickBot="1" x14ac:dyDescent="0.45">
      <c r="A330" s="10" t="s">
        <v>18</v>
      </c>
      <c r="B330" s="23">
        <v>0</v>
      </c>
      <c r="C330" s="24">
        <v>0</v>
      </c>
      <c r="D330" s="24">
        <v>0</v>
      </c>
      <c r="E330" s="25">
        <v>275263.76600230997</v>
      </c>
      <c r="F330" s="23">
        <v>0</v>
      </c>
      <c r="G330" s="24">
        <v>0</v>
      </c>
      <c r="H330" s="24">
        <v>0</v>
      </c>
      <c r="I330" s="25">
        <v>0</v>
      </c>
      <c r="J330" s="23">
        <v>0</v>
      </c>
      <c r="K330" s="24">
        <v>0</v>
      </c>
      <c r="L330" s="24">
        <v>0</v>
      </c>
      <c r="M330" s="25">
        <v>275263.76600230997</v>
      </c>
    </row>
    <row r="331" spans="1:15" ht="15.5" hidden="1" thickBot="1" x14ac:dyDescent="0.45">
      <c r="A331" s="11">
        <v>2023</v>
      </c>
      <c r="B331" s="28"/>
      <c r="C331" s="29"/>
      <c r="D331" s="29"/>
      <c r="E331" s="30"/>
      <c r="F331" s="28"/>
      <c r="G331" s="29"/>
      <c r="H331" s="29"/>
      <c r="I331" s="30"/>
      <c r="J331" s="28"/>
      <c r="K331" s="29"/>
      <c r="L331" s="29"/>
      <c r="M331" s="30"/>
    </row>
    <row r="332" spans="1:15" ht="15.5" hidden="1" thickBot="1" x14ac:dyDescent="0.45">
      <c r="A332" s="10" t="s">
        <v>7</v>
      </c>
      <c r="B332" s="23">
        <v>8134.64</v>
      </c>
      <c r="C332" s="24">
        <v>0</v>
      </c>
      <c r="D332" s="24">
        <v>8134.64</v>
      </c>
      <c r="E332" s="25">
        <v>283398.40600230999</v>
      </c>
      <c r="F332" s="23">
        <v>0</v>
      </c>
      <c r="G332" s="24">
        <v>0</v>
      </c>
      <c r="H332" s="24">
        <v>0</v>
      </c>
      <c r="I332" s="25">
        <v>0</v>
      </c>
      <c r="J332" s="23">
        <v>8134.64</v>
      </c>
      <c r="K332" s="24">
        <v>0</v>
      </c>
      <c r="L332" s="24">
        <v>8134.64</v>
      </c>
      <c r="M332" s="25">
        <v>283398.40600230999</v>
      </c>
      <c r="N332" s="12"/>
      <c r="O332" s="12"/>
    </row>
    <row r="333" spans="1:15" ht="15.5" hidden="1" thickBot="1" x14ac:dyDescent="0.45">
      <c r="A333" s="10" t="s">
        <v>8</v>
      </c>
      <c r="B333" s="23">
        <v>5225</v>
      </c>
      <c r="C333" s="24">
        <v>0</v>
      </c>
      <c r="D333" s="24">
        <v>5225</v>
      </c>
      <c r="E333" s="25">
        <v>288623.40600230999</v>
      </c>
      <c r="F333" s="23">
        <v>0</v>
      </c>
      <c r="G333" s="24">
        <v>0</v>
      </c>
      <c r="H333" s="24">
        <v>0</v>
      </c>
      <c r="I333" s="25">
        <v>0</v>
      </c>
      <c r="J333" s="23">
        <v>5225</v>
      </c>
      <c r="K333" s="24">
        <v>0</v>
      </c>
      <c r="L333" s="24">
        <v>5225</v>
      </c>
      <c r="M333" s="25">
        <v>288623.40600230999</v>
      </c>
      <c r="N333" s="12"/>
      <c r="O333" s="12"/>
    </row>
    <row r="334" spans="1:15" ht="15.5" hidden="1" thickBot="1" x14ac:dyDescent="0.45">
      <c r="A334" s="10" t="s">
        <v>9</v>
      </c>
      <c r="B334" s="17">
        <v>4561.88</v>
      </c>
      <c r="C334" s="18">
        <v>0</v>
      </c>
      <c r="D334" s="24">
        <v>4561.88</v>
      </c>
      <c r="E334" s="25">
        <v>293185.28600230999</v>
      </c>
      <c r="F334" s="17">
        <v>0</v>
      </c>
      <c r="G334" s="18">
        <v>0</v>
      </c>
      <c r="H334" s="18">
        <v>0</v>
      </c>
      <c r="I334" s="19">
        <v>0</v>
      </c>
      <c r="J334" s="23">
        <v>4561.88</v>
      </c>
      <c r="K334" s="24">
        <v>0</v>
      </c>
      <c r="L334" s="24">
        <v>4561.88</v>
      </c>
      <c r="M334" s="25">
        <v>293185.28600230999</v>
      </c>
      <c r="N334" s="12"/>
      <c r="O334" s="12"/>
    </row>
    <row r="335" spans="1:15" ht="15.5" hidden="1" thickBot="1" x14ac:dyDescent="0.45">
      <c r="A335" s="10" t="s">
        <v>10</v>
      </c>
      <c r="B335" s="17">
        <v>8085.9269999999997</v>
      </c>
      <c r="C335" s="18">
        <v>6190</v>
      </c>
      <c r="D335" s="24">
        <v>1895.9269999999997</v>
      </c>
      <c r="E335" s="25">
        <v>295081.20900231402</v>
      </c>
      <c r="F335" s="17">
        <v>0</v>
      </c>
      <c r="G335" s="18">
        <v>0</v>
      </c>
      <c r="H335" s="18">
        <v>0</v>
      </c>
      <c r="I335" s="19">
        <v>0</v>
      </c>
      <c r="J335" s="23">
        <v>8085.9269999999997</v>
      </c>
      <c r="K335" s="24">
        <v>6190</v>
      </c>
      <c r="L335" s="24">
        <v>1895.9269999999997</v>
      </c>
      <c r="M335" s="25">
        <v>295081.20900231402</v>
      </c>
      <c r="N335" s="12"/>
      <c r="O335" s="12"/>
    </row>
    <row r="336" spans="1:15" ht="15.5" hidden="1" thickBot="1" x14ac:dyDescent="0.45">
      <c r="A336" s="10" t="s">
        <v>11</v>
      </c>
      <c r="B336" s="17">
        <v>4271.0630000000001</v>
      </c>
      <c r="C336" s="18">
        <v>0</v>
      </c>
      <c r="D336" s="24">
        <v>4271.0630000000001</v>
      </c>
      <c r="E336" s="25">
        <v>299352.27200231404</v>
      </c>
      <c r="F336" s="17">
        <v>0</v>
      </c>
      <c r="G336" s="18">
        <v>0</v>
      </c>
      <c r="H336" s="18">
        <v>0</v>
      </c>
      <c r="I336" s="19">
        <v>0</v>
      </c>
      <c r="J336" s="23">
        <v>4271.0630000000001</v>
      </c>
      <c r="K336" s="24">
        <v>0</v>
      </c>
      <c r="L336" s="23">
        <v>4271.0630000000001</v>
      </c>
      <c r="M336" s="25">
        <v>299352.27200231404</v>
      </c>
      <c r="N336" s="12"/>
      <c r="O336" s="12"/>
    </row>
    <row r="337" spans="1:15" ht="15.5" hidden="1" thickBot="1" x14ac:dyDescent="0.45">
      <c r="A337" s="10" t="s">
        <v>12</v>
      </c>
      <c r="B337" s="17">
        <v>2395</v>
      </c>
      <c r="C337" s="18">
        <v>0</v>
      </c>
      <c r="D337" s="24">
        <v>2395</v>
      </c>
      <c r="E337" s="25">
        <v>301747.27200231404</v>
      </c>
      <c r="F337" s="17">
        <v>0</v>
      </c>
      <c r="G337" s="18">
        <v>0</v>
      </c>
      <c r="H337" s="18">
        <v>0</v>
      </c>
      <c r="I337" s="19">
        <v>0</v>
      </c>
      <c r="J337" s="23">
        <v>2395</v>
      </c>
      <c r="K337" s="24">
        <v>0</v>
      </c>
      <c r="L337" s="23">
        <v>2395</v>
      </c>
      <c r="M337" s="25">
        <v>301747.27200231404</v>
      </c>
      <c r="N337" s="12"/>
      <c r="O337" s="12"/>
    </row>
    <row r="338" spans="1:15" ht="15.5" hidden="1" thickBot="1" x14ac:dyDescent="0.45">
      <c r="A338" s="10" t="s">
        <v>13</v>
      </c>
      <c r="B338" s="17">
        <v>2092.8530000000001</v>
      </c>
      <c r="C338" s="18">
        <v>9788.75</v>
      </c>
      <c r="D338" s="24">
        <v>-7695.8969999999999</v>
      </c>
      <c r="E338" s="25">
        <v>294051.38</v>
      </c>
      <c r="F338" s="17">
        <v>0</v>
      </c>
      <c r="G338" s="18">
        <v>0</v>
      </c>
      <c r="H338" s="18">
        <v>0</v>
      </c>
      <c r="I338" s="19">
        <v>0</v>
      </c>
      <c r="J338" s="23">
        <v>2092.85</v>
      </c>
      <c r="K338" s="24">
        <v>9788.75</v>
      </c>
      <c r="L338" s="24">
        <v>-7695.9</v>
      </c>
      <c r="M338" s="25">
        <v>294051.38</v>
      </c>
      <c r="N338" s="12"/>
      <c r="O338" s="12"/>
    </row>
    <row r="339" spans="1:15" ht="15.5" hidden="1" thickBot="1" x14ac:dyDescent="0.45">
      <c r="A339" s="10" t="s">
        <v>14</v>
      </c>
      <c r="B339" s="17">
        <v>2295</v>
      </c>
      <c r="C339" s="18">
        <v>0</v>
      </c>
      <c r="D339" s="24">
        <v>2295</v>
      </c>
      <c r="E339" s="25">
        <v>296346.38</v>
      </c>
      <c r="F339" s="17">
        <v>0</v>
      </c>
      <c r="G339" s="18">
        <v>0</v>
      </c>
      <c r="H339" s="18">
        <v>0</v>
      </c>
      <c r="I339" s="19">
        <v>0</v>
      </c>
      <c r="J339" s="23">
        <v>2295</v>
      </c>
      <c r="K339" s="24">
        <v>0</v>
      </c>
      <c r="L339" s="24">
        <v>2295</v>
      </c>
      <c r="M339" s="25">
        <v>296346.38</v>
      </c>
      <c r="N339" s="12"/>
      <c r="O339" s="12"/>
    </row>
    <row r="340" spans="1:15" ht="15.5" hidden="1" thickBot="1" x14ac:dyDescent="0.45">
      <c r="A340" s="10" t="s">
        <v>15</v>
      </c>
      <c r="B340" s="17">
        <v>1380</v>
      </c>
      <c r="C340" s="18">
        <v>0</v>
      </c>
      <c r="D340" s="24">
        <v>1380</v>
      </c>
      <c r="E340" s="25">
        <v>297726.37500231399</v>
      </c>
      <c r="F340" s="17">
        <v>0</v>
      </c>
      <c r="G340" s="18">
        <v>0</v>
      </c>
      <c r="H340" s="18">
        <v>0</v>
      </c>
      <c r="I340" s="19">
        <v>0</v>
      </c>
      <c r="J340" s="17">
        <v>1380</v>
      </c>
      <c r="K340" s="18">
        <v>0</v>
      </c>
      <c r="L340" s="24">
        <v>1380</v>
      </c>
      <c r="M340" s="25">
        <v>297726.37500231399</v>
      </c>
      <c r="N340" s="12"/>
      <c r="O340" s="12"/>
    </row>
    <row r="341" spans="1:15" ht="15.5" hidden="1" thickBot="1" x14ac:dyDescent="0.45">
      <c r="A341" s="10" t="s">
        <v>16</v>
      </c>
      <c r="B341" s="17">
        <v>8565</v>
      </c>
      <c r="C341" s="18">
        <v>12096.592000000001</v>
      </c>
      <c r="D341" s="24">
        <v>-3531.5920000000006</v>
      </c>
      <c r="E341" s="25">
        <v>294194.78300231398</v>
      </c>
      <c r="F341" s="17">
        <v>0</v>
      </c>
      <c r="G341" s="18">
        <v>0</v>
      </c>
      <c r="H341" s="18">
        <v>0</v>
      </c>
      <c r="I341" s="19">
        <v>0</v>
      </c>
      <c r="J341" s="17">
        <v>8565</v>
      </c>
      <c r="K341" s="18">
        <v>12096.592000000001</v>
      </c>
      <c r="L341" s="24">
        <v>-3531.5920000000006</v>
      </c>
      <c r="M341" s="25">
        <v>294194.78300231398</v>
      </c>
      <c r="N341" s="12"/>
      <c r="O341" s="12"/>
    </row>
    <row r="342" spans="1:15" ht="15.5" hidden="1" thickBot="1" x14ac:dyDescent="0.45">
      <c r="A342" s="10" t="s">
        <v>17</v>
      </c>
      <c r="B342" s="17">
        <v>2166.826</v>
      </c>
      <c r="C342" s="18">
        <v>0</v>
      </c>
      <c r="D342" s="24">
        <v>2166.826</v>
      </c>
      <c r="E342" s="25">
        <v>296361.60900231398</v>
      </c>
      <c r="F342" s="17">
        <v>0</v>
      </c>
      <c r="G342" s="18">
        <v>0</v>
      </c>
      <c r="H342" s="18">
        <v>0</v>
      </c>
      <c r="I342" s="19">
        <v>0</v>
      </c>
      <c r="J342" s="17">
        <v>2166.826</v>
      </c>
      <c r="K342" s="18">
        <v>0</v>
      </c>
      <c r="L342" s="24">
        <v>2166.826</v>
      </c>
      <c r="M342" s="25">
        <v>296361.60900231398</v>
      </c>
      <c r="N342" s="12"/>
      <c r="O342" s="12"/>
    </row>
    <row r="343" spans="1:15" ht="15.5" hidden="1" thickBot="1" x14ac:dyDescent="0.45">
      <c r="A343" s="10" t="s">
        <v>18</v>
      </c>
      <c r="B343" s="17">
        <v>1127.693</v>
      </c>
      <c r="C343" s="18">
        <v>0</v>
      </c>
      <c r="D343" s="24">
        <v>1127.693</v>
      </c>
      <c r="E343" s="25">
        <v>297489.30200231401</v>
      </c>
      <c r="F343" s="17">
        <v>0</v>
      </c>
      <c r="G343" s="18">
        <v>0</v>
      </c>
      <c r="H343" s="18">
        <v>0</v>
      </c>
      <c r="I343" s="19">
        <v>0</v>
      </c>
      <c r="J343" s="17">
        <v>1127.693</v>
      </c>
      <c r="K343" s="18">
        <v>0</v>
      </c>
      <c r="L343" s="24">
        <v>1127.693</v>
      </c>
      <c r="M343" s="25">
        <v>297489.30200231401</v>
      </c>
      <c r="N343" s="12"/>
      <c r="O343" s="12"/>
    </row>
    <row r="344" spans="1:15" ht="15.5" hidden="1" thickBot="1" x14ac:dyDescent="0.45">
      <c r="A344" s="10"/>
      <c r="B344" s="17"/>
      <c r="C344" s="18"/>
      <c r="D344" s="32"/>
      <c r="E344" s="33"/>
      <c r="F344" s="17"/>
      <c r="G344" s="18"/>
      <c r="H344" s="18"/>
      <c r="I344" s="19"/>
      <c r="J344" s="17"/>
      <c r="K344" s="18"/>
      <c r="L344" s="32"/>
      <c r="M344" s="33"/>
      <c r="N344" s="12"/>
      <c r="O344" s="12"/>
    </row>
    <row r="345" spans="1:15" ht="15.5" hidden="1" thickBot="1" x14ac:dyDescent="0.45">
      <c r="A345" s="11">
        <v>2024</v>
      </c>
      <c r="B345" s="28"/>
      <c r="C345" s="29"/>
      <c r="D345" s="29"/>
      <c r="E345" s="30"/>
      <c r="F345" s="28"/>
      <c r="G345" s="29"/>
      <c r="H345" s="29"/>
      <c r="I345" s="30"/>
      <c r="J345" s="28"/>
      <c r="K345" s="29"/>
      <c r="L345" s="29"/>
      <c r="M345" s="30"/>
      <c r="N345" s="12"/>
      <c r="O345" s="12"/>
    </row>
    <row r="346" spans="1:15" ht="15.5" hidden="1" thickBot="1" x14ac:dyDescent="0.45">
      <c r="A346" s="10" t="s">
        <v>7</v>
      </c>
      <c r="B346" s="23">
        <v>10797.467000000001</v>
      </c>
      <c r="C346" s="24">
        <v>0</v>
      </c>
      <c r="D346" s="24">
        <v>10797.467000000001</v>
      </c>
      <c r="E346" s="25">
        <v>308286.76900231402</v>
      </c>
      <c r="F346" s="17">
        <v>0</v>
      </c>
      <c r="G346" s="18">
        <v>0</v>
      </c>
      <c r="H346" s="18">
        <v>0</v>
      </c>
      <c r="I346" s="19">
        <v>0</v>
      </c>
      <c r="J346" s="23">
        <v>10797.467000000001</v>
      </c>
      <c r="K346" s="24">
        <v>0</v>
      </c>
      <c r="L346" s="24">
        <v>10797.467000000001</v>
      </c>
      <c r="M346" s="25">
        <v>308286.76900231402</v>
      </c>
      <c r="N346" s="12"/>
      <c r="O346" s="12"/>
    </row>
    <row r="347" spans="1:15" ht="15.5" hidden="1" thickBot="1" x14ac:dyDescent="0.45">
      <c r="A347" s="10" t="s">
        <v>8</v>
      </c>
      <c r="B347" s="23">
        <v>3063.422</v>
      </c>
      <c r="C347" s="24">
        <v>0</v>
      </c>
      <c r="D347" s="24">
        <v>3063.422</v>
      </c>
      <c r="E347" s="25">
        <v>311350.19100231404</v>
      </c>
      <c r="F347" s="23">
        <v>0</v>
      </c>
      <c r="G347" s="24">
        <v>0</v>
      </c>
      <c r="H347" s="24">
        <v>0</v>
      </c>
      <c r="I347" s="25">
        <v>0</v>
      </c>
      <c r="J347" s="23">
        <v>3063.422</v>
      </c>
      <c r="K347" s="24">
        <v>0</v>
      </c>
      <c r="L347" s="24">
        <v>3063.422</v>
      </c>
      <c r="M347" s="25">
        <v>311350.19100231404</v>
      </c>
    </row>
    <row r="348" spans="1:15" ht="15.5" hidden="1" thickBot="1" x14ac:dyDescent="0.45">
      <c r="A348" s="10" t="s">
        <v>9</v>
      </c>
      <c r="B348" s="17">
        <v>2531.8054000000002</v>
      </c>
      <c r="C348" s="18">
        <v>0</v>
      </c>
      <c r="D348" s="24">
        <v>2531.8054000000002</v>
      </c>
      <c r="E348" s="25">
        <v>313881.99640231405</v>
      </c>
      <c r="F348" s="17">
        <v>0</v>
      </c>
      <c r="G348" s="18">
        <v>0</v>
      </c>
      <c r="H348" s="18">
        <v>0</v>
      </c>
      <c r="I348" s="19">
        <v>0</v>
      </c>
      <c r="J348" s="23">
        <v>2531.8054000000002</v>
      </c>
      <c r="K348" s="24">
        <v>0</v>
      </c>
      <c r="L348" s="24">
        <v>2531.8054000000002</v>
      </c>
      <c r="M348" s="25">
        <v>313881.99640231405</v>
      </c>
    </row>
    <row r="349" spans="1:15" ht="15.5" hidden="1" thickBot="1" x14ac:dyDescent="0.45">
      <c r="A349" s="10" t="s">
        <v>10</v>
      </c>
      <c r="B349" s="17">
        <v>4112.5</v>
      </c>
      <c r="C349" s="18">
        <v>0</v>
      </c>
      <c r="D349" s="24">
        <f t="shared" ref="D349:D354" si="171">B349-C349</f>
        <v>4112.5</v>
      </c>
      <c r="E349" s="25">
        <f t="shared" ref="E349:E354" si="172">E348+D349</f>
        <v>317994.49640231405</v>
      </c>
      <c r="F349" s="17">
        <v>0</v>
      </c>
      <c r="G349" s="18">
        <v>0</v>
      </c>
      <c r="H349" s="18">
        <v>0</v>
      </c>
      <c r="I349" s="19">
        <v>0</v>
      </c>
      <c r="J349" s="23">
        <v>4112.5</v>
      </c>
      <c r="K349" s="24">
        <v>0</v>
      </c>
      <c r="L349" s="24">
        <v>4112.5</v>
      </c>
      <c r="M349" s="25">
        <v>317994.49640231405</v>
      </c>
    </row>
    <row r="350" spans="1:15" ht="15.5" hidden="1" thickBot="1" x14ac:dyDescent="0.45">
      <c r="A350" s="10" t="s">
        <v>11</v>
      </c>
      <c r="B350" s="17">
        <v>6212.5</v>
      </c>
      <c r="C350" s="18">
        <v>0</v>
      </c>
      <c r="D350" s="24">
        <f t="shared" si="171"/>
        <v>6212.5</v>
      </c>
      <c r="E350" s="25">
        <f t="shared" si="172"/>
        <v>324206.99640231405</v>
      </c>
      <c r="F350" s="17">
        <v>0</v>
      </c>
      <c r="G350" s="18">
        <v>0</v>
      </c>
      <c r="H350" s="18">
        <v>0</v>
      </c>
      <c r="I350" s="19">
        <v>0</v>
      </c>
      <c r="J350" s="23">
        <v>6212.5</v>
      </c>
      <c r="K350" s="24">
        <v>0</v>
      </c>
      <c r="L350" s="23">
        <v>6212.5</v>
      </c>
      <c r="M350" s="25">
        <v>324206.99640231405</v>
      </c>
    </row>
    <row r="351" spans="1:15" ht="15.5" hidden="1" thickBot="1" x14ac:dyDescent="0.45">
      <c r="A351" s="10" t="s">
        <v>12</v>
      </c>
      <c r="B351" s="17">
        <v>4017.1880999999998</v>
      </c>
      <c r="C351" s="18">
        <v>0</v>
      </c>
      <c r="D351" s="24">
        <f t="shared" si="171"/>
        <v>4017.1880999999998</v>
      </c>
      <c r="E351" s="25">
        <f t="shared" si="172"/>
        <v>328224.18450231408</v>
      </c>
      <c r="F351" s="17">
        <v>0</v>
      </c>
      <c r="G351" s="18">
        <v>0</v>
      </c>
      <c r="H351" s="18">
        <v>0</v>
      </c>
      <c r="I351" s="19">
        <v>0</v>
      </c>
      <c r="J351" s="23">
        <v>4017.1880999999998</v>
      </c>
      <c r="K351" s="24">
        <v>0</v>
      </c>
      <c r="L351" s="23">
        <v>4017.1880999999998</v>
      </c>
      <c r="M351" s="25">
        <v>328224.18450231408</v>
      </c>
    </row>
    <row r="352" spans="1:15" ht="15.5" hidden="1" thickBot="1" x14ac:dyDescent="0.45">
      <c r="A352" s="10" t="s">
        <v>13</v>
      </c>
      <c r="B352" s="17">
        <v>1983.7639999999999</v>
      </c>
      <c r="C352" s="18">
        <v>11835</v>
      </c>
      <c r="D352" s="24">
        <f t="shared" si="171"/>
        <v>-9851.2360000000008</v>
      </c>
      <c r="E352" s="25">
        <f>E351+D352</f>
        <v>318372.9485023141</v>
      </c>
      <c r="F352" s="17">
        <v>0</v>
      </c>
      <c r="G352" s="18">
        <v>0</v>
      </c>
      <c r="H352" s="18">
        <v>0</v>
      </c>
      <c r="I352" s="19">
        <v>0</v>
      </c>
      <c r="J352" s="23">
        <v>1983.7639999999999</v>
      </c>
      <c r="K352" s="24">
        <v>11835</v>
      </c>
      <c r="L352" s="24">
        <v>-9851.2360000000008</v>
      </c>
      <c r="M352" s="25">
        <v>318372.9485023141</v>
      </c>
    </row>
    <row r="353" spans="1:13" ht="15.5" hidden="1" thickBot="1" x14ac:dyDescent="0.45">
      <c r="A353" s="10" t="s">
        <v>14</v>
      </c>
      <c r="B353" s="17">
        <v>2190.9</v>
      </c>
      <c r="C353" s="18">
        <v>0</v>
      </c>
      <c r="D353" s="24">
        <f t="shared" si="171"/>
        <v>2190.9</v>
      </c>
      <c r="E353" s="25">
        <f t="shared" si="172"/>
        <v>320563.84850231413</v>
      </c>
      <c r="F353" s="17">
        <v>0</v>
      </c>
      <c r="G353" s="18">
        <v>0</v>
      </c>
      <c r="H353" s="18">
        <v>0</v>
      </c>
      <c r="I353" s="19">
        <v>0</v>
      </c>
      <c r="J353" s="23">
        <v>2190.9</v>
      </c>
      <c r="K353" s="24">
        <v>0</v>
      </c>
      <c r="L353" s="24">
        <v>2190.9</v>
      </c>
      <c r="M353" s="25">
        <v>320563.84850231413</v>
      </c>
    </row>
    <row r="354" spans="1:13" ht="15.5" hidden="1" thickBot="1" x14ac:dyDescent="0.45">
      <c r="A354" s="10" t="s">
        <v>15</v>
      </c>
      <c r="B354" s="17">
        <v>7433.8567999999996</v>
      </c>
      <c r="C354" s="18">
        <v>0</v>
      </c>
      <c r="D354" s="24">
        <f t="shared" si="171"/>
        <v>7433.8567999999996</v>
      </c>
      <c r="E354" s="25">
        <f t="shared" si="172"/>
        <v>327997.70530231413</v>
      </c>
      <c r="F354" s="17">
        <v>0</v>
      </c>
      <c r="G354" s="18">
        <v>0</v>
      </c>
      <c r="H354" s="18">
        <v>0</v>
      </c>
      <c r="I354" s="25">
        <v>0</v>
      </c>
      <c r="J354" s="17">
        <v>7433.8567999999996</v>
      </c>
      <c r="K354" s="18">
        <v>0</v>
      </c>
      <c r="L354" s="24">
        <v>7433.8567999999996</v>
      </c>
      <c r="M354" s="25">
        <v>327997.70530231413</v>
      </c>
    </row>
    <row r="355" spans="1:13" ht="15.5" hidden="1" thickBot="1" x14ac:dyDescent="0.45">
      <c r="A355" s="10" t="s">
        <v>16</v>
      </c>
      <c r="B355" s="17">
        <v>2222.462</v>
      </c>
      <c r="C355" s="24">
        <v>11730.35</v>
      </c>
      <c r="D355" s="24">
        <f>B355-C355</f>
        <v>-9507.8880000000008</v>
      </c>
      <c r="E355" s="25">
        <f>E354+D355</f>
        <v>318489.81730231416</v>
      </c>
      <c r="F355" s="17">
        <v>0</v>
      </c>
      <c r="G355" s="18">
        <v>0</v>
      </c>
      <c r="H355" s="18">
        <v>0</v>
      </c>
      <c r="I355" s="25">
        <v>0</v>
      </c>
      <c r="J355" s="17">
        <v>2222.462</v>
      </c>
      <c r="K355" s="18">
        <v>11730.35</v>
      </c>
      <c r="L355" s="24">
        <v>-9507.8880000000008</v>
      </c>
      <c r="M355" s="25">
        <v>318489.81730231416</v>
      </c>
    </row>
    <row r="356" spans="1:13" ht="15.5" hidden="1" thickBot="1" x14ac:dyDescent="0.45">
      <c r="A356" s="10" t="s">
        <v>17</v>
      </c>
      <c r="B356" s="17">
        <v>1825</v>
      </c>
      <c r="C356" s="18">
        <v>0</v>
      </c>
      <c r="D356" s="24">
        <f>B356-C356</f>
        <v>1825</v>
      </c>
      <c r="E356" s="25">
        <f>E355+D356</f>
        <v>320314.81730231416</v>
      </c>
      <c r="F356" s="17">
        <v>0</v>
      </c>
      <c r="G356" s="18">
        <v>0</v>
      </c>
      <c r="H356" s="18">
        <v>0</v>
      </c>
      <c r="I356" s="25">
        <v>0</v>
      </c>
      <c r="J356" s="17">
        <v>1825</v>
      </c>
      <c r="K356" s="18">
        <v>0</v>
      </c>
      <c r="L356" s="24">
        <v>1825</v>
      </c>
      <c r="M356" s="25">
        <v>320314.81730231416</v>
      </c>
    </row>
    <row r="357" spans="1:13" ht="15.5" hidden="1" thickBot="1" x14ac:dyDescent="0.45">
      <c r="A357" s="10" t="s">
        <v>18</v>
      </c>
      <c r="B357" s="17">
        <v>2119.4929999999999</v>
      </c>
      <c r="C357" s="18">
        <v>0</v>
      </c>
      <c r="D357" s="24">
        <f>B357-C357</f>
        <v>2119.4929999999999</v>
      </c>
      <c r="E357" s="25">
        <v>322434.31030231417</v>
      </c>
      <c r="F357" s="17">
        <v>0</v>
      </c>
      <c r="G357" s="18">
        <v>0</v>
      </c>
      <c r="H357" s="18">
        <v>0</v>
      </c>
      <c r="I357" s="25">
        <v>0</v>
      </c>
      <c r="J357" s="17">
        <v>2119.4929999999999</v>
      </c>
      <c r="K357" s="18">
        <v>0</v>
      </c>
      <c r="L357" s="24">
        <f>J357-K357</f>
        <v>2119.4929999999999</v>
      </c>
      <c r="M357" s="25">
        <v>322434.31030231417</v>
      </c>
    </row>
    <row r="358" spans="1:13" ht="15.5" thickBot="1" x14ac:dyDescent="0.45">
      <c r="A358" s="11">
        <v>2025</v>
      </c>
      <c r="B358" s="28"/>
      <c r="C358" s="29"/>
      <c r="D358" s="29"/>
      <c r="E358" s="30"/>
      <c r="F358" s="28"/>
      <c r="G358" s="29"/>
      <c r="H358" s="29"/>
      <c r="I358" s="30"/>
      <c r="J358" s="28"/>
      <c r="K358" s="29"/>
      <c r="L358" s="29"/>
      <c r="M358" s="30"/>
    </row>
    <row r="359" spans="1:13" ht="15.5" thickBot="1" x14ac:dyDescent="0.45">
      <c r="A359" s="10" t="s">
        <v>7</v>
      </c>
      <c r="B359" s="18">
        <v>2662.5</v>
      </c>
      <c r="C359" s="18">
        <v>0</v>
      </c>
      <c r="D359" s="18">
        <f t="shared" ref="D359:D367" si="173">B359-C359</f>
        <v>2662.5</v>
      </c>
      <c r="E359" s="25">
        <f>E357+D359</f>
        <v>325096.81030231417</v>
      </c>
      <c r="F359" s="17">
        <v>0</v>
      </c>
      <c r="G359" s="18">
        <v>0</v>
      </c>
      <c r="H359" s="18">
        <v>0</v>
      </c>
      <c r="I359" s="19">
        <v>0</v>
      </c>
      <c r="J359" s="18">
        <v>2662.5</v>
      </c>
      <c r="K359" s="18">
        <v>0</v>
      </c>
      <c r="L359" s="18">
        <f>J359-K359</f>
        <v>2662.5</v>
      </c>
      <c r="M359" s="25">
        <f>M357+L359</f>
        <v>325096.81030231417</v>
      </c>
    </row>
    <row r="360" spans="1:13" ht="15.5" thickBot="1" x14ac:dyDescent="0.45">
      <c r="A360" s="10" t="s">
        <v>8</v>
      </c>
      <c r="B360" s="18">
        <v>9338.0997000000007</v>
      </c>
      <c r="C360" s="18">
        <v>0</v>
      </c>
      <c r="D360" s="18">
        <f t="shared" si="173"/>
        <v>9338.0997000000007</v>
      </c>
      <c r="E360" s="25">
        <f t="shared" ref="E360:E367" si="174">E359+D360</f>
        <v>334434.91000231419</v>
      </c>
      <c r="F360" s="17">
        <v>0</v>
      </c>
      <c r="G360" s="18">
        <v>0</v>
      </c>
      <c r="H360" s="18">
        <v>0</v>
      </c>
      <c r="I360" s="19">
        <v>0</v>
      </c>
      <c r="J360" s="18">
        <f>B360</f>
        <v>9338.0997000000007</v>
      </c>
      <c r="K360" s="18">
        <f>C360</f>
        <v>0</v>
      </c>
      <c r="L360" s="18">
        <f>J360-K360</f>
        <v>9338.0997000000007</v>
      </c>
      <c r="M360" s="25">
        <f t="shared" ref="M360:M365" si="175">M359+L360</f>
        <v>334434.91000231419</v>
      </c>
    </row>
    <row r="361" spans="1:13" ht="15.5" thickBot="1" x14ac:dyDescent="0.45">
      <c r="A361" s="10" t="s">
        <v>9</v>
      </c>
      <c r="B361" s="18">
        <v>3662.5</v>
      </c>
      <c r="C361" s="18">
        <v>0</v>
      </c>
      <c r="D361" s="18">
        <f t="shared" si="173"/>
        <v>3662.5</v>
      </c>
      <c r="E361" s="25">
        <f t="shared" si="174"/>
        <v>338097.41000231419</v>
      </c>
      <c r="F361" s="18">
        <v>0</v>
      </c>
      <c r="G361" s="18">
        <v>0</v>
      </c>
      <c r="H361" s="18">
        <v>0</v>
      </c>
      <c r="I361" s="25">
        <v>0</v>
      </c>
      <c r="J361" s="18">
        <v>3662.5</v>
      </c>
      <c r="K361" s="18">
        <v>0</v>
      </c>
      <c r="L361" s="18">
        <v>3662.5</v>
      </c>
      <c r="M361" s="25">
        <f t="shared" si="175"/>
        <v>338097.41000231419</v>
      </c>
    </row>
    <row r="362" spans="1:13" ht="15.5" thickBot="1" x14ac:dyDescent="0.45">
      <c r="A362" s="10" t="s">
        <v>10</v>
      </c>
      <c r="B362" s="18">
        <v>10399.489100000001</v>
      </c>
      <c r="C362" s="18">
        <v>9055</v>
      </c>
      <c r="D362" s="18">
        <f t="shared" si="173"/>
        <v>1344.4891000000007</v>
      </c>
      <c r="E362" s="25">
        <f t="shared" si="174"/>
        <v>339441.8991023142</v>
      </c>
      <c r="F362" s="18">
        <v>0</v>
      </c>
      <c r="G362" s="18">
        <v>0</v>
      </c>
      <c r="H362" s="18">
        <v>0</v>
      </c>
      <c r="I362" s="25">
        <v>0</v>
      </c>
      <c r="J362" s="18">
        <v>10399.489100000001</v>
      </c>
      <c r="K362" s="18">
        <v>9055</v>
      </c>
      <c r="L362" s="18">
        <f t="shared" ref="L362:L367" si="176">J362-K362</f>
        <v>1344.4891000000007</v>
      </c>
      <c r="M362" s="25">
        <f t="shared" si="175"/>
        <v>339441.8991023142</v>
      </c>
    </row>
    <row r="363" spans="1:13" ht="15.5" thickBot="1" x14ac:dyDescent="0.45">
      <c r="A363" s="10" t="s">
        <v>11</v>
      </c>
      <c r="B363" s="18">
        <v>2817.8074000000001</v>
      </c>
      <c r="C363" s="18">
        <v>0</v>
      </c>
      <c r="D363" s="18">
        <f t="shared" si="173"/>
        <v>2817.8074000000001</v>
      </c>
      <c r="E363" s="25">
        <f t="shared" si="174"/>
        <v>342259.70650231419</v>
      </c>
      <c r="F363" s="18">
        <v>0</v>
      </c>
      <c r="G363" s="18">
        <v>0</v>
      </c>
      <c r="H363" s="18">
        <v>0</v>
      </c>
      <c r="I363" s="25">
        <v>0</v>
      </c>
      <c r="J363" s="18">
        <v>2817.8074000000001</v>
      </c>
      <c r="K363" s="18">
        <v>0</v>
      </c>
      <c r="L363" s="18">
        <f t="shared" si="176"/>
        <v>2817.8074000000001</v>
      </c>
      <c r="M363" s="25">
        <f t="shared" si="175"/>
        <v>342259.70650231419</v>
      </c>
    </row>
    <row r="364" spans="1:13" ht="15.5" thickBot="1" x14ac:dyDescent="0.45">
      <c r="A364" s="10" t="s">
        <v>12</v>
      </c>
      <c r="B364" s="18">
        <v>3287.5</v>
      </c>
      <c r="C364" s="18">
        <v>0</v>
      </c>
      <c r="D364" s="18">
        <f t="shared" si="173"/>
        <v>3287.5</v>
      </c>
      <c r="E364" s="25">
        <f t="shared" si="174"/>
        <v>345547.20650231419</v>
      </c>
      <c r="F364" s="18">
        <v>0</v>
      </c>
      <c r="G364" s="18">
        <v>0</v>
      </c>
      <c r="H364" s="18">
        <v>0</v>
      </c>
      <c r="I364" s="25">
        <v>0</v>
      </c>
      <c r="J364" s="18">
        <v>3287.5</v>
      </c>
      <c r="K364" s="18">
        <v>0</v>
      </c>
      <c r="L364" s="18">
        <f t="shared" si="176"/>
        <v>3287.5</v>
      </c>
      <c r="M364" s="25">
        <f t="shared" si="175"/>
        <v>345547.20650231419</v>
      </c>
    </row>
    <row r="365" spans="1:13" ht="15.5" thickBot="1" x14ac:dyDescent="0.45">
      <c r="A365" s="10" t="s">
        <v>13</v>
      </c>
      <c r="B365" s="18">
        <v>1725</v>
      </c>
      <c r="C365" s="18">
        <v>0</v>
      </c>
      <c r="D365" s="18">
        <f t="shared" si="173"/>
        <v>1725</v>
      </c>
      <c r="E365" s="25">
        <f t="shared" si="174"/>
        <v>347272.20650231419</v>
      </c>
      <c r="F365" s="18">
        <v>0</v>
      </c>
      <c r="G365" s="18">
        <v>0</v>
      </c>
      <c r="H365" s="18">
        <v>0</v>
      </c>
      <c r="I365" s="19">
        <v>0</v>
      </c>
      <c r="J365" s="18">
        <f t="shared" ref="J365:K367" si="177">B365</f>
        <v>1725</v>
      </c>
      <c r="K365" s="18">
        <f t="shared" si="177"/>
        <v>0</v>
      </c>
      <c r="L365" s="18">
        <f t="shared" si="176"/>
        <v>1725</v>
      </c>
      <c r="M365" s="25">
        <f t="shared" si="175"/>
        <v>347272.20650231419</v>
      </c>
    </row>
    <row r="366" spans="1:13" ht="15.5" thickBot="1" x14ac:dyDescent="0.45">
      <c r="A366" s="10" t="s">
        <v>14</v>
      </c>
      <c r="B366" s="18">
        <v>1437.5</v>
      </c>
      <c r="C366" s="18">
        <v>0</v>
      </c>
      <c r="D366" s="18">
        <f t="shared" si="173"/>
        <v>1437.5</v>
      </c>
      <c r="E366" s="25">
        <f t="shared" si="174"/>
        <v>348709.70650231419</v>
      </c>
      <c r="F366" s="18">
        <v>0</v>
      </c>
      <c r="G366" s="18">
        <v>0</v>
      </c>
      <c r="H366" s="18">
        <v>0</v>
      </c>
      <c r="I366" s="19">
        <v>0</v>
      </c>
      <c r="J366" s="18">
        <f t="shared" si="177"/>
        <v>1437.5</v>
      </c>
      <c r="K366" s="18">
        <f t="shared" si="177"/>
        <v>0</v>
      </c>
      <c r="L366" s="18">
        <f t="shared" si="176"/>
        <v>1437.5</v>
      </c>
      <c r="M366" s="25">
        <f t="shared" ref="M366" si="178">M365+L366</f>
        <v>348709.70650231419</v>
      </c>
    </row>
    <row r="367" spans="1:13" ht="15.5" thickBot="1" x14ac:dyDescent="0.45">
      <c r="A367" s="10" t="s">
        <v>15</v>
      </c>
      <c r="B367" s="18">
        <v>4400</v>
      </c>
      <c r="C367" s="18">
        <v>0</v>
      </c>
      <c r="D367" s="18">
        <f t="shared" si="173"/>
        <v>4400</v>
      </c>
      <c r="E367" s="25">
        <f t="shared" si="174"/>
        <v>353109.70650231419</v>
      </c>
      <c r="F367" s="18">
        <v>0</v>
      </c>
      <c r="G367" s="18">
        <v>0</v>
      </c>
      <c r="H367" s="18">
        <v>0</v>
      </c>
      <c r="I367" s="19">
        <v>0</v>
      </c>
      <c r="J367" s="18">
        <f t="shared" si="177"/>
        <v>4400</v>
      </c>
      <c r="K367" s="18">
        <f t="shared" si="177"/>
        <v>0</v>
      </c>
      <c r="L367" s="18">
        <f t="shared" si="176"/>
        <v>4400</v>
      </c>
      <c r="M367" s="25">
        <f t="shared" ref="M367" si="179">M366+L367</f>
        <v>353109.70650231419</v>
      </c>
    </row>
    <row r="368" spans="1:13" ht="15.5" thickBot="1" x14ac:dyDescent="0.45">
      <c r="A368" s="10" t="s">
        <v>16</v>
      </c>
      <c r="B368" s="18">
        <v>1347.3325</v>
      </c>
      <c r="C368" s="18">
        <v>13326.942999999999</v>
      </c>
      <c r="D368" s="18">
        <f t="shared" ref="D368:D370" si="180">B368-C368</f>
        <v>-11979.610499999999</v>
      </c>
      <c r="E368" s="25">
        <f t="shared" ref="E368:E370" si="181">E367+D368</f>
        <v>341130.09600231418</v>
      </c>
      <c r="F368" s="18">
        <v>0</v>
      </c>
      <c r="G368" s="18">
        <v>0</v>
      </c>
      <c r="H368" s="18">
        <v>0</v>
      </c>
      <c r="I368" s="25">
        <v>0</v>
      </c>
      <c r="J368" s="18">
        <f t="shared" ref="J368:J369" si="182">B368</f>
        <v>1347.3325</v>
      </c>
      <c r="K368" s="18">
        <f t="shared" ref="K368:K370" si="183">C368</f>
        <v>13326.942999999999</v>
      </c>
      <c r="L368" s="18">
        <f t="shared" ref="L368:L370" si="184">J368-K368</f>
        <v>-11979.610499999999</v>
      </c>
      <c r="M368" s="25">
        <f t="shared" ref="M368:M369" si="185">M367+L368</f>
        <v>341130.09600231418</v>
      </c>
    </row>
    <row r="369" spans="1:13" ht="15.5" thickBot="1" x14ac:dyDescent="0.45">
      <c r="A369" s="10" t="s">
        <v>17</v>
      </c>
      <c r="B369" s="18">
        <v>1332.5</v>
      </c>
      <c r="C369" s="18">
        <v>0</v>
      </c>
      <c r="D369" s="18">
        <f t="shared" si="180"/>
        <v>1332.5</v>
      </c>
      <c r="E369" s="25">
        <f t="shared" si="181"/>
        <v>342462.59600231418</v>
      </c>
      <c r="F369" s="18">
        <v>0</v>
      </c>
      <c r="G369" s="18">
        <v>0</v>
      </c>
      <c r="H369" s="18">
        <v>0</v>
      </c>
      <c r="I369" s="25">
        <v>0</v>
      </c>
      <c r="J369" s="18">
        <f t="shared" si="182"/>
        <v>1332.5</v>
      </c>
      <c r="K369" s="18">
        <f t="shared" si="183"/>
        <v>0</v>
      </c>
      <c r="L369" s="18">
        <f t="shared" si="184"/>
        <v>1332.5</v>
      </c>
      <c r="M369" s="25">
        <f t="shared" si="185"/>
        <v>342462.59600231418</v>
      </c>
    </row>
    <row r="370" spans="1:13" ht="15.5" thickBot="1" x14ac:dyDescent="0.45">
      <c r="A370" s="10" t="s">
        <v>18</v>
      </c>
      <c r="B370" s="18">
        <v>2575</v>
      </c>
      <c r="C370" s="18">
        <v>0</v>
      </c>
      <c r="D370" s="18">
        <f t="shared" si="180"/>
        <v>2575</v>
      </c>
      <c r="E370" s="25">
        <f t="shared" si="181"/>
        <v>345037.59600231418</v>
      </c>
      <c r="F370" s="18">
        <v>0</v>
      </c>
      <c r="G370" s="18">
        <v>0</v>
      </c>
      <c r="H370" s="18">
        <v>0</v>
      </c>
      <c r="I370" s="25">
        <v>0</v>
      </c>
      <c r="J370" s="18">
        <f>B370</f>
        <v>2575</v>
      </c>
      <c r="K370" s="18">
        <f t="shared" si="183"/>
        <v>0</v>
      </c>
      <c r="L370" s="18">
        <f t="shared" si="184"/>
        <v>2575</v>
      </c>
      <c r="M370" s="25">
        <f>M369+L370</f>
        <v>345037.59600231418</v>
      </c>
    </row>
    <row r="371" spans="1:13" ht="15.5" thickBot="1" x14ac:dyDescent="0.45">
      <c r="A371" s="11">
        <v>2026</v>
      </c>
      <c r="B371" s="28"/>
      <c r="C371" s="29"/>
      <c r="D371" s="29"/>
      <c r="E371" s="30"/>
      <c r="F371" s="28"/>
      <c r="G371" s="29"/>
      <c r="H371" s="29"/>
      <c r="I371" s="30"/>
      <c r="J371" s="28"/>
      <c r="K371" s="29"/>
      <c r="L371" s="29"/>
      <c r="M371" s="30"/>
    </row>
    <row r="372" spans="1:13" ht="15.5" thickBot="1" x14ac:dyDescent="0.45">
      <c r="A372" s="10" t="s">
        <v>7</v>
      </c>
      <c r="B372" s="18">
        <v>10014.67</v>
      </c>
      <c r="C372" s="18">
        <v>0</v>
      </c>
      <c r="D372" s="18">
        <f>B372-C372</f>
        <v>10014.67</v>
      </c>
      <c r="E372" s="25">
        <f>E370+D372</f>
        <v>355052.26600231417</v>
      </c>
      <c r="F372" s="17">
        <v>0</v>
      </c>
      <c r="G372" s="18">
        <v>0</v>
      </c>
      <c r="H372" s="18">
        <v>0</v>
      </c>
      <c r="I372" s="19">
        <v>0</v>
      </c>
      <c r="J372" s="18">
        <f t="shared" ref="J372:K379" si="186">B372</f>
        <v>10014.67</v>
      </c>
      <c r="K372" s="18">
        <f t="shared" si="186"/>
        <v>0</v>
      </c>
      <c r="L372" s="18">
        <f>J372-K372</f>
        <v>10014.67</v>
      </c>
      <c r="M372" s="25">
        <f>M370+L372</f>
        <v>355052.26600231417</v>
      </c>
    </row>
    <row r="373" spans="1:13" ht="15.5" thickBot="1" x14ac:dyDescent="0.45">
      <c r="A373" s="10" t="s">
        <v>8</v>
      </c>
      <c r="B373" s="18">
        <v>3352.2773999999999</v>
      </c>
      <c r="C373" s="18">
        <v>0</v>
      </c>
      <c r="D373" s="18">
        <f t="shared" ref="D373:D379" si="187">B373-C373</f>
        <v>3352.2773999999999</v>
      </c>
      <c r="E373" s="25">
        <f t="shared" ref="E373:E379" si="188">E372+D373</f>
        <v>358404.54340231419</v>
      </c>
      <c r="F373" s="17">
        <v>0</v>
      </c>
      <c r="G373" s="18">
        <v>0</v>
      </c>
      <c r="H373" s="18">
        <v>0</v>
      </c>
      <c r="I373" s="19">
        <v>0</v>
      </c>
      <c r="J373" s="18">
        <f t="shared" si="186"/>
        <v>3352.2773999999999</v>
      </c>
      <c r="K373" s="18">
        <f t="shared" si="186"/>
        <v>0</v>
      </c>
      <c r="L373" s="18">
        <f t="shared" ref="L373:L379" si="189">J373-K373</f>
        <v>3352.2773999999999</v>
      </c>
      <c r="M373" s="25">
        <f t="shared" ref="M373:M379" si="190">M372+L373</f>
        <v>358404.54340231419</v>
      </c>
    </row>
    <row r="374" spans="1:13" ht="15.5" thickBot="1" x14ac:dyDescent="0.45">
      <c r="A374" s="10" t="s">
        <v>9</v>
      </c>
      <c r="B374" s="18">
        <v>5675</v>
      </c>
      <c r="C374" s="18">
        <v>10351.370999999999</v>
      </c>
      <c r="D374" s="18">
        <f t="shared" si="187"/>
        <v>-4676.3709999999992</v>
      </c>
      <c r="E374" s="25">
        <f t="shared" si="188"/>
        <v>353728.1724023142</v>
      </c>
      <c r="F374" s="18">
        <v>0</v>
      </c>
      <c r="G374" s="18">
        <v>0</v>
      </c>
      <c r="H374" s="18">
        <v>0</v>
      </c>
      <c r="I374" s="25">
        <v>0</v>
      </c>
      <c r="J374" s="18">
        <f t="shared" si="186"/>
        <v>5675</v>
      </c>
      <c r="K374" s="18">
        <f t="shared" si="186"/>
        <v>10351.370999999999</v>
      </c>
      <c r="L374" s="18">
        <f t="shared" si="189"/>
        <v>-4676.3709999999992</v>
      </c>
      <c r="M374" s="25">
        <f t="shared" si="190"/>
        <v>353728.1724023142</v>
      </c>
    </row>
    <row r="375" spans="1:13" ht="15.5" thickBot="1" x14ac:dyDescent="0.45">
      <c r="A375" s="10" t="s">
        <v>10</v>
      </c>
      <c r="B375" s="18">
        <v>3499.6432</v>
      </c>
      <c r="C375" s="18">
        <v>0</v>
      </c>
      <c r="D375" s="18">
        <f t="shared" si="187"/>
        <v>3499.6432</v>
      </c>
      <c r="E375" s="25">
        <f t="shared" si="188"/>
        <v>357227.81560231419</v>
      </c>
      <c r="F375" s="18">
        <v>0</v>
      </c>
      <c r="G375" s="18">
        <v>0</v>
      </c>
      <c r="H375" s="18">
        <v>0</v>
      </c>
      <c r="I375" s="25">
        <v>0</v>
      </c>
      <c r="J375" s="18">
        <f t="shared" si="186"/>
        <v>3499.6432</v>
      </c>
      <c r="K375" s="18">
        <f t="shared" si="186"/>
        <v>0</v>
      </c>
      <c r="L375" s="18">
        <f t="shared" si="189"/>
        <v>3499.6432</v>
      </c>
      <c r="M375" s="25">
        <f t="shared" si="190"/>
        <v>357227.81560231419</v>
      </c>
    </row>
    <row r="376" spans="1:13" ht="15.5" thickBot="1" x14ac:dyDescent="0.45">
      <c r="A376" s="10" t="s">
        <v>11</v>
      </c>
      <c r="B376" s="18">
        <v>1682.8810000000001</v>
      </c>
      <c r="C376" s="18">
        <v>0</v>
      </c>
      <c r="D376" s="18">
        <f t="shared" si="187"/>
        <v>1682.8810000000001</v>
      </c>
      <c r="E376" s="25">
        <f t="shared" si="188"/>
        <v>358910.69660231419</v>
      </c>
      <c r="F376" s="18">
        <v>0</v>
      </c>
      <c r="G376" s="18">
        <v>0</v>
      </c>
      <c r="H376" s="18">
        <v>0</v>
      </c>
      <c r="I376" s="25">
        <v>0</v>
      </c>
      <c r="J376" s="18">
        <f t="shared" si="186"/>
        <v>1682.8810000000001</v>
      </c>
      <c r="K376" s="18">
        <f t="shared" si="186"/>
        <v>0</v>
      </c>
      <c r="L376" s="18">
        <f t="shared" si="189"/>
        <v>1682.8810000000001</v>
      </c>
      <c r="M376" s="25">
        <f t="shared" si="190"/>
        <v>358910.69660231419</v>
      </c>
    </row>
    <row r="377" spans="1:13" ht="15.5" thickBot="1" x14ac:dyDescent="0.45">
      <c r="A377" s="10" t="s">
        <v>12</v>
      </c>
      <c r="B377" s="18">
        <v>6937.5</v>
      </c>
      <c r="C377" s="18">
        <v>0</v>
      </c>
      <c r="D377" s="18">
        <f t="shared" si="187"/>
        <v>6937.5</v>
      </c>
      <c r="E377" s="25">
        <f t="shared" si="188"/>
        <v>365848.19660231419</v>
      </c>
      <c r="F377" s="18">
        <v>0</v>
      </c>
      <c r="G377" s="18">
        <v>0</v>
      </c>
      <c r="H377" s="18">
        <v>0</v>
      </c>
      <c r="I377" s="25">
        <v>0</v>
      </c>
      <c r="J377" s="18">
        <f t="shared" si="186"/>
        <v>6937.5</v>
      </c>
      <c r="K377" s="18">
        <f t="shared" si="186"/>
        <v>0</v>
      </c>
      <c r="L377" s="18">
        <f t="shared" si="189"/>
        <v>6937.5</v>
      </c>
      <c r="M377" s="25">
        <f t="shared" si="190"/>
        <v>365848.19660231419</v>
      </c>
    </row>
    <row r="378" spans="1:13" ht="15.5" thickBot="1" x14ac:dyDescent="0.45">
      <c r="A378" s="10" t="s">
        <v>13</v>
      </c>
      <c r="B378" s="18">
        <v>1725</v>
      </c>
      <c r="C378" s="18">
        <v>4885.1239999999998</v>
      </c>
      <c r="D378" s="18">
        <f t="shared" si="187"/>
        <v>-3160.1239999999998</v>
      </c>
      <c r="E378" s="25">
        <f t="shared" si="188"/>
        <v>362688.07260231418</v>
      </c>
      <c r="F378" s="18">
        <v>0</v>
      </c>
      <c r="G378" s="18">
        <v>0</v>
      </c>
      <c r="H378" s="18">
        <v>0</v>
      </c>
      <c r="I378" s="25">
        <v>0</v>
      </c>
      <c r="J378" s="18">
        <f t="shared" si="186"/>
        <v>1725</v>
      </c>
      <c r="K378" s="18">
        <f t="shared" si="186"/>
        <v>4885.1239999999998</v>
      </c>
      <c r="L378" s="18">
        <f t="shared" si="189"/>
        <v>-3160.1239999999998</v>
      </c>
      <c r="M378" s="25">
        <f t="shared" si="190"/>
        <v>362688.07260231418</v>
      </c>
    </row>
    <row r="379" spans="1:13" ht="15.5" thickBot="1" x14ac:dyDescent="0.45">
      <c r="A379" s="10" t="s">
        <v>14</v>
      </c>
      <c r="B379" s="18">
        <v>1551.2878000000001</v>
      </c>
      <c r="C379" s="18">
        <v>0</v>
      </c>
      <c r="D379" s="18">
        <f t="shared" si="187"/>
        <v>1551.2878000000001</v>
      </c>
      <c r="E379" s="25">
        <f t="shared" si="188"/>
        <v>364239.36040231417</v>
      </c>
      <c r="F379" s="18">
        <v>0</v>
      </c>
      <c r="G379" s="18">
        <v>0</v>
      </c>
      <c r="H379" s="18">
        <v>0</v>
      </c>
      <c r="I379" s="25">
        <v>0</v>
      </c>
      <c r="J379" s="18">
        <f t="shared" si="186"/>
        <v>1551.2878000000001</v>
      </c>
      <c r="K379" s="18">
        <f t="shared" si="186"/>
        <v>0</v>
      </c>
      <c r="L379" s="18">
        <f t="shared" si="189"/>
        <v>1551.2878000000001</v>
      </c>
      <c r="M379" s="25">
        <f t="shared" si="190"/>
        <v>364239.36040231417</v>
      </c>
    </row>
    <row r="380" spans="1:13" ht="15.5" thickBot="1" x14ac:dyDescent="0.45">
      <c r="A380" s="10" t="s">
        <v>15</v>
      </c>
      <c r="B380" s="18"/>
      <c r="C380" s="18"/>
      <c r="D380" s="18"/>
      <c r="E380" s="25"/>
      <c r="F380" s="18"/>
      <c r="G380" s="18"/>
      <c r="H380" s="18"/>
      <c r="I380" s="19"/>
      <c r="J380" s="18"/>
      <c r="K380" s="18"/>
      <c r="L380" s="18"/>
      <c r="M380" s="25"/>
    </row>
    <row r="381" spans="1:13" ht="15.5" thickBot="1" x14ac:dyDescent="0.45">
      <c r="A381" s="10" t="s">
        <v>16</v>
      </c>
      <c r="B381" s="18"/>
      <c r="C381" s="18"/>
      <c r="D381" s="18"/>
      <c r="E381" s="25"/>
      <c r="F381" s="18"/>
      <c r="G381" s="18"/>
      <c r="H381" s="18"/>
      <c r="I381" s="25"/>
      <c r="J381" s="18"/>
      <c r="K381" s="18"/>
      <c r="L381" s="18"/>
      <c r="M381" s="25"/>
    </row>
    <row r="382" spans="1:13" ht="15.5" thickBot="1" x14ac:dyDescent="0.45">
      <c r="A382" s="10" t="s">
        <v>17</v>
      </c>
      <c r="B382" s="18"/>
      <c r="C382" s="18"/>
      <c r="D382" s="18"/>
      <c r="E382" s="25"/>
      <c r="F382" s="18"/>
      <c r="G382" s="18"/>
      <c r="H382" s="18"/>
      <c r="I382" s="25"/>
      <c r="J382" s="18"/>
      <c r="K382" s="18"/>
      <c r="L382" s="18"/>
      <c r="M382" s="25"/>
    </row>
    <row r="383" spans="1:13" ht="15.5" thickBot="1" x14ac:dyDescent="0.45">
      <c r="A383" s="10" t="s">
        <v>18</v>
      </c>
      <c r="B383" s="18"/>
      <c r="C383" s="18"/>
      <c r="D383" s="18"/>
      <c r="E383" s="25"/>
      <c r="F383" s="18"/>
      <c r="G383" s="18"/>
      <c r="H383" s="18"/>
      <c r="I383" s="25"/>
      <c r="J383" s="18"/>
      <c r="K383" s="18"/>
      <c r="L383" s="18"/>
      <c r="M383" s="25"/>
    </row>
    <row r="384" spans="1:13" ht="15.5" thickBot="1" x14ac:dyDescent="0.45">
      <c r="E384" s="24"/>
    </row>
    <row r="385" spans="1:1" ht="15.5" thickBot="1" x14ac:dyDescent="0.45">
      <c r="A385" s="13" t="s">
        <v>21</v>
      </c>
    </row>
    <row r="386" spans="1:1" ht="15.5" thickBot="1" x14ac:dyDescent="0.45">
      <c r="A386" s="31" t="s">
        <v>23</v>
      </c>
    </row>
  </sheetData>
  <mergeCells count="4">
    <mergeCell ref="B2:E2"/>
    <mergeCell ref="F2:I2"/>
    <mergeCell ref="J2:M2"/>
    <mergeCell ref="A2:A3"/>
  </mergeCells>
  <phoneticPr fontId="1" type="noConversion"/>
  <printOptions horizontalCentered="1"/>
  <pageMargins left="0.39370078740157483" right="0.39370078740157483" top="0.59055118110236227" bottom="0.39370078740157483" header="0.51181102362204722" footer="0.51181102362204722"/>
  <pageSetup paperSize="9" scale="76" orientation="landscape" r:id="rId1"/>
  <headerFooter alignWithMargins="0"/>
  <ignoredErrors>
    <ignoredError sqref="B231 E14:E17 I14:I17 E19:E25 I19:I25" formula="1"/>
    <ignoredError sqref="F24:G24 C24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Daten</vt:lpstr>
      <vt:lpstr>Daten!Druckbereich</vt:lpstr>
    </vt:vector>
  </TitlesOfParts>
  <Company>OeKB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User;Oesterreichische Kontrollbank AG</dc:creator>
  <cp:lastModifiedBy>Krapf Johanna</cp:lastModifiedBy>
  <cp:lastPrinted>2021-06-04T11:07:58Z</cp:lastPrinted>
  <dcterms:created xsi:type="dcterms:W3CDTF">2001-01-30T10:30:44Z</dcterms:created>
  <dcterms:modified xsi:type="dcterms:W3CDTF">2026-09-01T07:25:03Z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505fdd3-3fbd-4cea-85de-1209b4774ad7_Enabled">
    <vt:lpwstr>true</vt:lpwstr>
  </property>
  <property fmtid="{D5CDD505-2E9C-101B-9397-08002B2CF9AE}" pid="3" name="MSIP_Label_1505fdd3-3fbd-4cea-85de-1209b4774ad7_SetDate">
    <vt:lpwstr>2024-06-04T09:20:25Z</vt:lpwstr>
  </property>
  <property fmtid="{D5CDD505-2E9C-101B-9397-08002B2CF9AE}" pid="4" name="MSIP_Label_1505fdd3-3fbd-4cea-85de-1209b4774ad7_Method">
    <vt:lpwstr>Privileged</vt:lpwstr>
  </property>
  <property fmtid="{D5CDD505-2E9C-101B-9397-08002B2CF9AE}" pid="5" name="MSIP_Label_1505fdd3-3fbd-4cea-85de-1209b4774ad7_Name">
    <vt:lpwstr>Öffentlich</vt:lpwstr>
  </property>
  <property fmtid="{D5CDD505-2E9C-101B-9397-08002B2CF9AE}" pid="6" name="MSIP_Label_1505fdd3-3fbd-4cea-85de-1209b4774ad7_SiteId">
    <vt:lpwstr>a930b05c-c932-417a-9ce5-4bad09f0c5c4</vt:lpwstr>
  </property>
  <property fmtid="{D5CDD505-2E9C-101B-9397-08002B2CF9AE}" pid="7" name="MSIP_Label_1505fdd3-3fbd-4cea-85de-1209b4774ad7_ActionId">
    <vt:lpwstr>f995bc18-2070-495f-92e7-5e1bc33189f0</vt:lpwstr>
  </property>
  <property fmtid="{D5CDD505-2E9C-101B-9397-08002B2CF9AE}" pid="8" name="MSIP_Label_1505fdd3-3fbd-4cea-85de-1209b4774ad7_ContentBits">
    <vt:lpwstr>0</vt:lpwstr>
  </property>
</Properties>
</file>